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6"/>
  </bookViews>
  <sheets>
    <sheet name="REV" sheetId="1" r:id="rId1"/>
    <sheet name="EXP" sheetId="2" r:id="rId2"/>
    <sheet name="SH" sheetId="3" state="hidden" r:id="rId3"/>
    <sheet name="SDBIP" sheetId="4" r:id="rId4"/>
    <sheet name="CAP" sheetId="5" r:id="rId5"/>
    <sheet name="rollover" sheetId="6" state="hidden" r:id="rId6"/>
    <sheet name="INV" sheetId="7" r:id="rId7"/>
    <sheet name="R" sheetId="8" state="hidden" r:id="rId8"/>
    <sheet name="Sheet1" sheetId="9" r:id="rId9"/>
  </sheets>
  <definedNames>
    <definedName name="_xlnm.Print_Area" localSheetId="4">'CAP'!$A$1:$H$36</definedName>
    <definedName name="_xlnm.Print_Area" localSheetId="6">'INV'!$A$1:$J$54</definedName>
    <definedName name="_xlnm.Print_Area" localSheetId="2">'SH'!$A$5:$CB$44</definedName>
    <definedName name="_xlnm.Print_Titles" localSheetId="2">'SH'!$A:$B,'SH'!$5:$10</definedName>
  </definedNames>
  <calcPr calcMode="manual" fullCalcOnLoad="1"/>
</workbook>
</file>

<file path=xl/sharedStrings.xml><?xml version="1.0" encoding="utf-8"?>
<sst xmlns="http://schemas.openxmlformats.org/spreadsheetml/2006/main" count="628" uniqueCount="197">
  <si>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</si>
  <si>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</si>
  <si>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</si>
  <si>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</si>
  <si>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</si>
  <si>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</si>
  <si>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</si>
  <si>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</si>
  <si>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</si>
  <si>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</si>
  <si>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</si>
  <si>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</si>
  <si>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</si>
  <si>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</si>
  <si>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</si>
  <si>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</si>
  <si>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</si>
  <si>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</si>
  <si>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</si>
  <si>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OWN REVENUE</t>
  </si>
  <si>
    <t>Interest - Current Account</t>
  </si>
  <si>
    <t>Interest - External Investment</t>
  </si>
  <si>
    <t>Abbatoir - Income</t>
  </si>
  <si>
    <t>Fire Fighting</t>
  </si>
  <si>
    <t>Other income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</si>
  <si>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</si>
  <si>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</si>
  <si>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</si>
  <si>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</si>
  <si>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</si>
  <si>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</si>
  <si>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</si>
  <si>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</si>
  <si>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</si>
  <si>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</si>
  <si>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</si>
  <si>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</si>
  <si>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</si>
  <si>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</si>
  <si>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</si>
  <si>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</si>
  <si>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</si>
  <si>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</si>
  <si>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</si>
  <si>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</si>
  <si>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</si>
  <si>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</si>
  <si>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</si>
  <si>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</si>
  <si>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</si>
  <si>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</si>
  <si>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</si>
  <si>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</si>
  <si>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</si>
  <si>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</si>
  <si>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</si>
  <si>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ANNEXURE C</t>
  </si>
  <si>
    <t>DESCRIPTION</t>
  </si>
  <si>
    <t>YTD ACTUAL EXPEND</t>
  </si>
  <si>
    <t>% ACTUAL SPENT</t>
  </si>
  <si>
    <t>Land</t>
  </si>
  <si>
    <t>Disaster Management</t>
  </si>
  <si>
    <t>Sports, Arts and Culture</t>
  </si>
  <si>
    <t>TOTAL</t>
  </si>
  <si>
    <t>ANNEXURE 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</si>
  <si>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</si>
  <si>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</si>
  <si>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</si>
  <si>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</si>
  <si>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</si>
  <si>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</si>
  <si>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</si>
  <si>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</si>
  <si>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</si>
  <si>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</si>
  <si>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</si>
  <si>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</si>
  <si>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</si>
  <si>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</si>
  <si>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</si>
  <si>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</si>
  <si>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</si>
  <si>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</si>
  <si>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</si>
  <si>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</si>
  <si>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</si>
  <si>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</si>
  <si>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</si>
  <si>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</si>
  <si>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</si>
  <si>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</si>
  <si>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</si>
  <si>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</si>
  <si>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</si>
  <si>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</si>
  <si>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</si>
  <si>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</si>
  <si>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</si>
  <si>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</si>
  <si>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008</t>
  </si>
  <si>
    <t>009</t>
  </si>
  <si>
    <t>020</t>
  </si>
  <si>
    <t>Revenue by Source</t>
  </si>
  <si>
    <t>Total</t>
  </si>
  <si>
    <t>Proj Capex</t>
  </si>
  <si>
    <t>Capex</t>
  </si>
  <si>
    <t>Interest on Investments</t>
  </si>
  <si>
    <t>FMG</t>
  </si>
  <si>
    <t>MSIG</t>
  </si>
  <si>
    <t>Total Revenue by Source (Balanced to Cash Flow)</t>
  </si>
  <si>
    <t>BANK</t>
  </si>
  <si>
    <t>ACC NO</t>
  </si>
  <si>
    <t>INTEREST RATES</t>
  </si>
  <si>
    <t>MATURITY DATE</t>
  </si>
  <si>
    <t>INTEREST EARNED</t>
  </si>
  <si>
    <t>COMMENTS</t>
  </si>
  <si>
    <t>ABSA</t>
  </si>
  <si>
    <t>Interest paid into current account.</t>
  </si>
  <si>
    <t>90 Days</t>
  </si>
  <si>
    <t>FNB</t>
  </si>
  <si>
    <t>NEDBANK</t>
  </si>
  <si>
    <t>6 Months</t>
  </si>
  <si>
    <t>STANDARD</t>
  </si>
  <si>
    <t>Call</t>
  </si>
  <si>
    <t>INVESTEC</t>
  </si>
  <si>
    <t xml:space="preserve">  </t>
  </si>
  <si>
    <t>PERFORMANCE AGAINST SDBIP</t>
  </si>
  <si>
    <t>YTD SDBIP BASELINE</t>
  </si>
  <si>
    <t>New Investment</t>
  </si>
  <si>
    <t xml:space="preserve">Interest paid into current account. </t>
  </si>
  <si>
    <t>Municipal Support &amp; Institutional Development</t>
  </si>
  <si>
    <t>Community Participation And Good Governance</t>
  </si>
  <si>
    <t>Equitable Shares</t>
  </si>
  <si>
    <t>2009 / 2010</t>
  </si>
  <si>
    <t>Municipal Roads &amp; Storm Water</t>
  </si>
  <si>
    <t>Electricity</t>
  </si>
  <si>
    <t>TYPE OF INVESTMENT</t>
  </si>
  <si>
    <t>DATE INVESTED</t>
  </si>
  <si>
    <t>03/7497571214/000117</t>
  </si>
  <si>
    <t>32 Days</t>
  </si>
  <si>
    <t>Local Gov SETA</t>
  </si>
  <si>
    <t>89367/434913</t>
  </si>
  <si>
    <t>Refer to exp 4</t>
  </si>
  <si>
    <t>BUDGET ROLL OVER IDP</t>
  </si>
  <si>
    <t>TOTAL BUDGET</t>
  </si>
  <si>
    <t>Municipal Enviromental Health &amp; Enviromental Management</t>
  </si>
  <si>
    <t>IDP #</t>
  </si>
  <si>
    <t>1400198080500</t>
  </si>
  <si>
    <t>Offfice of the Municipal Manager</t>
  </si>
  <si>
    <t xml:space="preserve">Planning and Economic Development </t>
  </si>
  <si>
    <t>Enviromental Health</t>
  </si>
  <si>
    <t>Toatal By Vote (Balanced to Cash Flow)</t>
  </si>
  <si>
    <t>Service Charges - Abattoir</t>
  </si>
  <si>
    <t>Interest on current account</t>
  </si>
  <si>
    <t>Interest on outstanding debts - Abattoir</t>
  </si>
  <si>
    <t>Other Income</t>
  </si>
  <si>
    <t>Health Grant</t>
  </si>
  <si>
    <t>LG seta</t>
  </si>
  <si>
    <t>Pro Rev</t>
  </si>
  <si>
    <t>2011/2012</t>
  </si>
  <si>
    <t>006</t>
  </si>
  <si>
    <t>007</t>
  </si>
  <si>
    <t>ANNEXURE E</t>
  </si>
  <si>
    <t>TOTAL EXPENDITURE</t>
  </si>
  <si>
    <t>03/7497571214/000135</t>
  </si>
  <si>
    <t>BUDGET 2012/2013 IDP</t>
  </si>
  <si>
    <t>Water &amp; Sanitation</t>
  </si>
  <si>
    <t>2012/2013</t>
  </si>
  <si>
    <t>Refer to exp 3</t>
  </si>
  <si>
    <t>Refer to exp 5</t>
  </si>
  <si>
    <t>RMB WAT020</t>
  </si>
  <si>
    <t>Local Economic Development &amp; Tourism</t>
  </si>
  <si>
    <t>Actual IDP Project Expenditure</t>
  </si>
  <si>
    <t>PWP Grant</t>
  </si>
  <si>
    <t>60 Days</t>
  </si>
  <si>
    <t>03/7497571214/000136</t>
  </si>
  <si>
    <t>92 Days</t>
  </si>
  <si>
    <t>91 Days</t>
  </si>
  <si>
    <t>Refer to exp 6</t>
  </si>
  <si>
    <t>1 July 2012 – 31 December 2012</t>
  </si>
  <si>
    <t xml:space="preserve">BUDGETED 06 MONTHS PROJECTIONS </t>
  </si>
  <si>
    <t>1 July 2012 - 31 December 2012</t>
  </si>
  <si>
    <t>BUDGETED 06 MONTH PROJECTIONS</t>
  </si>
  <si>
    <t xml:space="preserve">BALANCE              01 Dec 2012   </t>
  </si>
  <si>
    <t>BALANCE             31 Dec 2012</t>
  </si>
  <si>
    <t>INVESTMENT PORTFOLIO – DECEMBER 2012</t>
  </si>
  <si>
    <t>03/7497571214/000138</t>
  </si>
  <si>
    <t>03/7497571214/000139</t>
  </si>
  <si>
    <t>STANLIB</t>
  </si>
  <si>
    <t>NEW</t>
  </si>
  <si>
    <t>90 Dyays</t>
  </si>
  <si>
    <t>89367/458409</t>
  </si>
  <si>
    <t xml:space="preserve">Interest paid into current account.R2 million added to increase the investment to R10 million which was invested for six months @ 5.43% </t>
  </si>
  <si>
    <t xml:space="preserve">Interest paid into current account.Investment withdrawn </t>
  </si>
  <si>
    <t>01 JULY TO 31 DECEMBER 2012</t>
  </si>
  <si>
    <t>EPWP Incentive Grant</t>
  </si>
  <si>
    <t>Act IDP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</si>
</sst>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  <font>
      <i/>
      <sz val="10"/>
      <name val="Arial"/>
      <family val="2"/>
    </font>
    <font>
      <b/>
      <u val="single"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  <border>
      <left style="thin"/>
      <right style="medium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39" fillId="0" borderId="0" applyFont="0" applyFill="0" applyBorder="0" applyAlignment="0" applyProtection="0"/>
    <xf numFmtId="164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165" fontId="33" fillId="0" borderId="16" xfId="0" applyNumberFormat="1" applyFont="1" applyBorder="1" applyAlignment="1">
      <alignment/>
    </xf>
    <xf numFmtId="0" fontId="23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5" fontId="33" fillId="0" borderId="10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165" fontId="22" fillId="0" borderId="13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6" xfId="0" applyFont="1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34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" fontId="36" fillId="0" borderId="13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21" fillId="19" borderId="10" xfId="0" applyFont="1" applyFill="1" applyBorder="1" applyAlignment="1">
      <alignment/>
    </xf>
    <xf numFmtId="4" fontId="0" fillId="19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19" borderId="13" xfId="0" applyNumberForma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65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3" fillId="0" borderId="1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172" fontId="0" fillId="0" borderId="26" xfId="0" applyNumberFormat="1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2" fontId="0" fillId="0" borderId="32" xfId="0" applyNumberFormat="1" applyFont="1" applyBorder="1" applyAlignment="1">
      <alignment horizontal="left" vertical="center"/>
    </xf>
    <xf numFmtId="10" fontId="0" fillId="0" borderId="32" xfId="0" applyNumberFormat="1" applyFont="1" applyBorder="1" applyAlignment="1">
      <alignment horizontal="left" vertical="center"/>
    </xf>
    <xf numFmtId="10" fontId="0" fillId="0" borderId="31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2" fontId="0" fillId="0" borderId="34" xfId="0" applyNumberFormat="1" applyFont="1" applyBorder="1" applyAlignment="1">
      <alignment horizontal="left" vertical="center"/>
    </xf>
    <xf numFmtId="10" fontId="0" fillId="0" borderId="34" xfId="0" applyNumberFormat="1" applyFont="1" applyBorder="1" applyAlignment="1">
      <alignment horizontal="left" vertical="center"/>
    </xf>
    <xf numFmtId="172" fontId="0" fillId="0" borderId="35" xfId="0" applyNumberFormat="1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172" fontId="20" fillId="0" borderId="31" xfId="0" applyNumberFormat="1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70" fontId="0" fillId="0" borderId="27" xfId="42" applyNumberFormat="1" applyFont="1" applyFill="1" applyBorder="1" applyAlignment="1">
      <alignment horizontal="left" vertical="center"/>
    </xf>
    <xf numFmtId="170" fontId="0" fillId="0" borderId="24" xfId="42" applyNumberFormat="1" applyFont="1" applyBorder="1" applyAlignment="1">
      <alignment horizontal="left" vertical="center"/>
    </xf>
    <xf numFmtId="170" fontId="0" fillId="0" borderId="27" xfId="42" applyNumberFormat="1" applyFont="1" applyBorder="1" applyAlignment="1">
      <alignment horizontal="left" vertical="center"/>
    </xf>
    <xf numFmtId="170" fontId="0" fillId="0" borderId="29" xfId="42" applyNumberFormat="1" applyFont="1" applyBorder="1" applyAlignment="1">
      <alignment horizontal="left" vertical="center"/>
    </xf>
    <xf numFmtId="170" fontId="0" fillId="0" borderId="30" xfId="42" applyNumberFormat="1" applyFont="1" applyBorder="1" applyAlignment="1">
      <alignment horizontal="left" vertical="center"/>
    </xf>
    <xf numFmtId="170" fontId="0" fillId="0" borderId="29" xfId="42" applyNumberFormat="1" applyFont="1" applyFill="1" applyBorder="1" applyAlignment="1">
      <alignment horizontal="left" vertical="center"/>
    </xf>
    <xf numFmtId="170" fontId="0" fillId="0" borderId="38" xfId="42" applyNumberFormat="1" applyFont="1" applyBorder="1" applyAlignment="1">
      <alignment horizontal="left" vertical="center"/>
    </xf>
    <xf numFmtId="170" fontId="0" fillId="0" borderId="36" xfId="42" applyNumberFormat="1" applyFont="1" applyBorder="1" applyAlignment="1">
      <alignment horizontal="left" vertical="center"/>
    </xf>
    <xf numFmtId="170" fontId="0" fillId="0" borderId="33" xfId="42" applyNumberFormat="1" applyFont="1" applyBorder="1" applyAlignment="1">
      <alignment horizontal="left" vertical="center"/>
    </xf>
    <xf numFmtId="170" fontId="20" fillId="0" borderId="39" xfId="42" applyNumberFormat="1" applyFont="1" applyBorder="1" applyAlignment="1">
      <alignment horizontal="left" vertical="center"/>
    </xf>
    <xf numFmtId="170" fontId="20" fillId="0" borderId="40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77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77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41" xfId="67" applyNumberFormat="1" applyFont="1" applyFill="1" applyBorder="1">
      <alignment/>
      <protection/>
    </xf>
    <xf numFmtId="3" fontId="26" fillId="0" borderId="41" xfId="67" applyNumberFormat="1" applyFont="1" applyFill="1" applyBorder="1" applyAlignment="1">
      <alignment horizontal="right"/>
      <protection/>
    </xf>
    <xf numFmtId="177" fontId="26" fillId="0" borderId="41" xfId="49" applyNumberFormat="1" applyFont="1" applyFill="1" applyBorder="1" applyAlignment="1">
      <alignment horizontal="right"/>
    </xf>
    <xf numFmtId="0" fontId="26" fillId="0" borderId="41" xfId="67" applyFont="1" applyFill="1" applyBorder="1" applyAlignment="1">
      <alignment vertical="top" wrapText="1"/>
      <protection/>
    </xf>
    <xf numFmtId="49" fontId="26" fillId="0" borderId="41" xfId="67" applyNumberFormat="1" applyFont="1" applyFill="1" applyBorder="1">
      <alignment/>
      <protection/>
    </xf>
    <xf numFmtId="177" fontId="27" fillId="0" borderId="41" xfId="49" applyNumberFormat="1" applyFont="1" applyFill="1" applyBorder="1" applyAlignment="1">
      <alignment/>
    </xf>
    <xf numFmtId="177" fontId="27" fillId="0" borderId="41" xfId="49" applyNumberFormat="1" applyFont="1" applyFill="1" applyBorder="1" applyAlignment="1">
      <alignment horizontal="right"/>
    </xf>
    <xf numFmtId="0" fontId="27" fillId="0" borderId="41" xfId="67" applyFont="1" applyFill="1" applyBorder="1" applyAlignment="1">
      <alignment vertical="top" wrapText="1"/>
      <protection/>
    </xf>
    <xf numFmtId="49" fontId="27" fillId="0" borderId="41" xfId="67" applyNumberFormat="1" applyFont="1" applyFill="1" applyBorder="1">
      <alignment/>
      <protection/>
    </xf>
    <xf numFmtId="49" fontId="27" fillId="0" borderId="41" xfId="67" applyNumberFormat="1" applyFont="1" applyFill="1" applyBorder="1" quotePrefix="1">
      <alignment/>
      <protection/>
    </xf>
    <xf numFmtId="177" fontId="27" fillId="0" borderId="41" xfId="49" applyNumberFormat="1" applyFont="1" applyFill="1" applyBorder="1" applyAlignment="1" applyProtection="1">
      <alignment/>
      <protection locked="0"/>
    </xf>
    <xf numFmtId="177" fontId="0" fillId="0" borderId="41" xfId="49" applyNumberFormat="1" applyFont="1" applyFill="1" applyBorder="1" applyAlignment="1">
      <alignment/>
    </xf>
    <xf numFmtId="177" fontId="28" fillId="0" borderId="41" xfId="49" applyNumberFormat="1" applyFont="1" applyFill="1" applyBorder="1" applyAlignment="1">
      <alignment/>
    </xf>
    <xf numFmtId="177" fontId="27" fillId="0" borderId="42" xfId="49" applyNumberFormat="1" applyFont="1" applyFill="1" applyBorder="1" applyAlignment="1">
      <alignment/>
    </xf>
    <xf numFmtId="177" fontId="29" fillId="0" borderId="41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7" fillId="0" borderId="41" xfId="67" applyFont="1" applyFill="1" applyBorder="1">
      <alignment/>
      <protection/>
    </xf>
    <xf numFmtId="0" fontId="26" fillId="0" borderId="41" xfId="67" applyFont="1" applyFill="1" applyBorder="1">
      <alignment/>
      <protection/>
    </xf>
    <xf numFmtId="177" fontId="26" fillId="0" borderId="41" xfId="49" applyNumberFormat="1" applyFont="1" applyFill="1" applyBorder="1" applyAlignment="1">
      <alignment/>
    </xf>
    <xf numFmtId="0" fontId="26" fillId="0" borderId="41" xfId="67" applyFont="1" applyFill="1" applyBorder="1" applyAlignment="1">
      <alignment horizontal="center"/>
      <protection/>
    </xf>
    <xf numFmtId="177" fontId="26" fillId="0" borderId="41" xfId="49" applyNumberFormat="1" applyFont="1" applyFill="1" applyBorder="1" applyAlignment="1">
      <alignment horizontal="center"/>
    </xf>
    <xf numFmtId="0" fontId="28" fillId="0" borderId="41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41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41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8" fillId="0" borderId="41" xfId="57" applyNumberFormat="1" applyFont="1" applyFill="1" applyBorder="1" applyAlignment="1">
      <alignment readingOrder="1"/>
    </xf>
    <xf numFmtId="3" fontId="27" fillId="0" borderId="41" xfId="67" applyNumberFormat="1" applyFont="1" applyFill="1" applyBorder="1" applyAlignment="1">
      <alignment horizontal="right"/>
      <protection/>
    </xf>
    <xf numFmtId="0" fontId="30" fillId="0" borderId="41" xfId="67" applyFont="1" applyFill="1" applyBorder="1" applyAlignment="1">
      <alignment vertical="top" wrapText="1"/>
      <protection/>
    </xf>
    <xf numFmtId="49" fontId="30" fillId="0" borderId="41" xfId="67" applyNumberFormat="1" applyFont="1" applyFill="1" applyBorder="1">
      <alignment/>
      <protection/>
    </xf>
    <xf numFmtId="177" fontId="27" fillId="0" borderId="43" xfId="49" applyNumberFormat="1" applyFont="1" applyFill="1" applyBorder="1" applyAlignment="1">
      <alignment horizontal="right"/>
    </xf>
    <xf numFmtId="177" fontId="27" fillId="0" borderId="41" xfId="49" applyNumberFormat="1" applyFont="1" applyFill="1" applyBorder="1" applyAlignment="1">
      <alignment/>
    </xf>
    <xf numFmtId="177" fontId="29" fillId="0" borderId="41" xfId="49" applyNumberFormat="1" applyFont="1" applyFill="1" applyBorder="1" applyAlignment="1">
      <alignment vertical="top" wrapText="1"/>
    </xf>
    <xf numFmtId="49" fontId="27" fillId="0" borderId="41" xfId="49" applyNumberFormat="1" applyFont="1" applyFill="1" applyBorder="1" applyAlignment="1">
      <alignment horizontal="right"/>
    </xf>
    <xf numFmtId="177" fontId="29" fillId="0" borderId="41" xfId="49" applyNumberFormat="1" applyFont="1" applyFill="1" applyBorder="1" applyAlignment="1">
      <alignment/>
    </xf>
    <xf numFmtId="177" fontId="27" fillId="0" borderId="41" xfId="49" applyNumberFormat="1" applyFont="1" applyFill="1" applyBorder="1" applyAlignment="1">
      <alignment vertical="top" wrapText="1"/>
    </xf>
    <xf numFmtId="0" fontId="0" fillId="0" borderId="41" xfId="67" applyFill="1" applyBorder="1">
      <alignment/>
      <protection/>
    </xf>
    <xf numFmtId="3" fontId="27" fillId="0" borderId="41" xfId="67" applyNumberFormat="1" applyFont="1" applyFill="1" applyBorder="1">
      <alignment/>
      <protection/>
    </xf>
    <xf numFmtId="3" fontId="28" fillId="0" borderId="41" xfId="67" applyNumberFormat="1" applyFont="1" applyFill="1" applyBorder="1">
      <alignment/>
      <protection/>
    </xf>
    <xf numFmtId="49" fontId="20" fillId="0" borderId="41" xfId="67" applyNumberFormat="1" applyFont="1" applyFill="1" applyBorder="1">
      <alignment/>
      <protection/>
    </xf>
    <xf numFmtId="0" fontId="26" fillId="0" borderId="0" xfId="67" applyFont="1" applyBorder="1" applyAlignment="1">
      <alignment/>
      <protection/>
    </xf>
    <xf numFmtId="177" fontId="26" fillId="0" borderId="0" xfId="49" applyNumberFormat="1" applyFont="1" applyBorder="1" applyAlignment="1">
      <alignment/>
    </xf>
    <xf numFmtId="0" fontId="26" fillId="0" borderId="0" xfId="67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vertical="top" wrapText="1"/>
      <protection/>
    </xf>
    <xf numFmtId="49" fontId="26" fillId="0" borderId="0" xfId="67" applyNumberFormat="1" applyFont="1" applyBorder="1" applyAlignment="1">
      <alignment horizontal="left"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3" fontId="28" fillId="0" borderId="42" xfId="67" applyNumberFormat="1" applyFont="1" applyFill="1" applyBorder="1" applyAlignment="1">
      <alignment horizontal="center"/>
      <protection/>
    </xf>
    <xf numFmtId="170" fontId="0" fillId="0" borderId="45" xfId="42" applyNumberFormat="1" applyFont="1" applyBorder="1" applyAlignment="1">
      <alignment horizontal="left" vertical="center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6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31" fillId="20" borderId="13" xfId="0" applyNumberFormat="1" applyFont="1" applyFill="1" applyBorder="1" applyAlignment="1">
      <alignment/>
    </xf>
    <xf numFmtId="0" fontId="0" fillId="20" borderId="0" xfId="0" applyFill="1" applyAlignment="1">
      <alignment/>
    </xf>
    <xf numFmtId="4" fontId="31" fillId="2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20" borderId="10" xfId="0" applyFont="1" applyFill="1" applyBorder="1" applyAlignment="1">
      <alignment wrapText="1"/>
    </xf>
    <xf numFmtId="172" fontId="0" fillId="0" borderId="31" xfId="0" applyNumberFormat="1" applyFont="1" applyBorder="1" applyAlignment="1">
      <alignment horizontal="left" vertical="center"/>
    </xf>
    <xf numFmtId="15" fontId="3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NumberForma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20" fillId="0" borderId="46" xfId="0" applyFont="1" applyBorder="1" applyAlignment="1">
      <alignment horizontal="center" wrapText="1"/>
    </xf>
    <xf numFmtId="4" fontId="0" fillId="0" borderId="46" xfId="0" applyNumberFormat="1" applyFill="1" applyBorder="1" applyAlignment="1">
      <alignment/>
    </xf>
    <xf numFmtId="4" fontId="20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0" fillId="0" borderId="46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19" borderId="46" xfId="0" applyNumberFormat="1" applyFont="1" applyFill="1" applyBorder="1" applyAlignment="1">
      <alignment/>
    </xf>
    <xf numFmtId="4" fontId="0" fillId="20" borderId="46" xfId="0" applyNumberFormat="1" applyFont="1" applyFill="1" applyBorder="1" applyAlignment="1">
      <alignment/>
    </xf>
    <xf numFmtId="4" fontId="0" fillId="0" borderId="4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32" fillId="0" borderId="46" xfId="0" applyNumberFormat="1" applyFont="1" applyFill="1" applyBorder="1" applyAlignment="1">
      <alignment/>
    </xf>
    <xf numFmtId="4" fontId="22" fillId="0" borderId="46" xfId="0" applyNumberFormat="1" applyFont="1" applyBorder="1" applyAlignment="1">
      <alignment/>
    </xf>
    <xf numFmtId="4" fontId="0" fillId="0" borderId="10" xfId="0" applyNumberFormat="1" applyBorder="1" applyAlignment="1">
      <alignment shrinkToFit="1"/>
    </xf>
    <xf numFmtId="4" fontId="20" fillId="0" borderId="13" xfId="0" applyNumberFormat="1" applyFont="1" applyFill="1" applyBorder="1" applyAlignment="1">
      <alignment/>
    </xf>
    <xf numFmtId="4" fontId="20" fillId="20" borderId="10" xfId="0" applyNumberFormat="1" applyFont="1" applyFill="1" applyBorder="1" applyAlignment="1">
      <alignment/>
    </xf>
    <xf numFmtId="4" fontId="20" fillId="20" borderId="16" xfId="0" applyNumberFormat="1" applyFont="1" applyFill="1" applyBorder="1" applyAlignment="1">
      <alignment/>
    </xf>
    <xf numFmtId="4" fontId="20" fillId="20" borderId="13" xfId="0" applyNumberFormat="1" applyFont="1" applyFill="1" applyBorder="1" applyAlignment="1">
      <alignment/>
    </xf>
    <xf numFmtId="170" fontId="20" fillId="0" borderId="27" xfId="42" applyNumberFormat="1" applyFont="1" applyBorder="1" applyAlignment="1">
      <alignment horizontal="left" vertical="center"/>
    </xf>
    <xf numFmtId="4" fontId="20" fillId="0" borderId="17" xfId="0" applyNumberFormat="1" applyFont="1" applyFill="1" applyBorder="1" applyAlignment="1">
      <alignment/>
    </xf>
    <xf numFmtId="4" fontId="22" fillId="0" borderId="17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5" fontId="0" fillId="0" borderId="25" xfId="0" applyNumberFormat="1" applyFont="1" applyBorder="1" applyAlignment="1">
      <alignment horizontal="left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65" fontId="23" fillId="0" borderId="49" xfId="0" applyNumberFormat="1" applyFont="1" applyBorder="1" applyAlignment="1">
      <alignment/>
    </xf>
    <xf numFmtId="0" fontId="23" fillId="0" borderId="50" xfId="0" applyFont="1" applyBorder="1" applyAlignment="1">
      <alignment/>
    </xf>
    <xf numFmtId="0" fontId="22" fillId="0" borderId="51" xfId="0" applyFont="1" applyBorder="1" applyAlignment="1">
      <alignment horizontal="center" vertical="center" wrapText="1"/>
    </xf>
    <xf numFmtId="165" fontId="23" fillId="0" borderId="52" xfId="0" applyNumberFormat="1" applyFont="1" applyBorder="1" applyAlignment="1">
      <alignment/>
    </xf>
    <xf numFmtId="170" fontId="0" fillId="0" borderId="53" xfId="42" applyNumberFormat="1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 horizontal="center"/>
    </xf>
    <xf numFmtId="165" fontId="23" fillId="0" borderId="59" xfId="0" applyNumberFormat="1" applyFont="1" applyBorder="1" applyAlignment="1">
      <alignment/>
    </xf>
    <xf numFmtId="165" fontId="23" fillId="0" borderId="60" xfId="0" applyNumberFormat="1" applyFont="1" applyBorder="1" applyAlignment="1">
      <alignment/>
    </xf>
    <xf numFmtId="0" fontId="23" fillId="0" borderId="61" xfId="0" applyFont="1" applyBorder="1" applyAlignment="1">
      <alignment/>
    </xf>
    <xf numFmtId="165" fontId="22" fillId="0" borderId="62" xfId="0" applyNumberFormat="1" applyFont="1" applyBorder="1" applyAlignment="1">
      <alignment/>
    </xf>
    <xf numFmtId="10" fontId="22" fillId="0" borderId="62" xfId="0" applyNumberFormat="1" applyFont="1" applyBorder="1" applyAlignment="1">
      <alignment horizontal="center"/>
    </xf>
    <xf numFmtId="0" fontId="22" fillId="0" borderId="63" xfId="0" applyFont="1" applyBorder="1" applyAlignment="1">
      <alignment/>
    </xf>
    <xf numFmtId="170" fontId="0" fillId="0" borderId="38" xfId="42" applyNumberFormat="1" applyFont="1" applyFill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172" fontId="20" fillId="0" borderId="68" xfId="0" applyNumberFormat="1" applyFont="1" applyBorder="1" applyAlignment="1">
      <alignment horizontal="left" vertical="center"/>
    </xf>
    <xf numFmtId="170" fontId="20" fillId="0" borderId="69" xfId="42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 wrapText="1"/>
    </xf>
    <xf numFmtId="0" fontId="0" fillId="0" borderId="70" xfId="0" applyFont="1" applyBorder="1" applyAlignment="1" quotePrefix="1">
      <alignment horizontal="left" vertical="center"/>
    </xf>
    <xf numFmtId="0" fontId="18" fillId="0" borderId="0" xfId="0" applyFont="1" applyAlignment="1">
      <alignment/>
    </xf>
    <xf numFmtId="0" fontId="0" fillId="0" borderId="45" xfId="0" applyBorder="1" applyAlignment="1">
      <alignment/>
    </xf>
    <xf numFmtId="0" fontId="2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0" fillId="0" borderId="45" xfId="0" applyFont="1" applyBorder="1" applyAlignment="1">
      <alignment/>
    </xf>
    <xf numFmtId="0" fontId="41" fillId="0" borderId="45" xfId="0" applyFont="1" applyBorder="1" applyAlignment="1">
      <alignment/>
    </xf>
    <xf numFmtId="0" fontId="0" fillId="0" borderId="53" xfId="0" applyBorder="1" applyAlignment="1">
      <alignment/>
    </xf>
    <xf numFmtId="0" fontId="20" fillId="0" borderId="53" xfId="0" applyFont="1" applyBorder="1" applyAlignment="1">
      <alignment/>
    </xf>
    <xf numFmtId="1" fontId="0" fillId="0" borderId="45" xfId="0" applyNumberFormat="1" applyFont="1" applyBorder="1" applyAlignment="1" quotePrefix="1">
      <alignment horizontal="right"/>
    </xf>
    <xf numFmtId="3" fontId="0" fillId="0" borderId="45" xfId="0" applyNumberFormat="1" applyBorder="1" applyAlignment="1">
      <alignment/>
    </xf>
    <xf numFmtId="170" fontId="21" fillId="0" borderId="45" xfId="42" applyNumberFormat="1" applyFont="1" applyFill="1" applyBorder="1" applyAlignment="1">
      <alignment/>
    </xf>
    <xf numFmtId="164" fontId="0" fillId="0" borderId="45" xfId="42" applyFont="1" applyBorder="1" applyAlignment="1" quotePrefix="1">
      <alignment horizontal="right"/>
    </xf>
    <xf numFmtId="0" fontId="0" fillId="0" borderId="45" xfId="0" applyFont="1" applyBorder="1" applyAlignment="1" quotePrefix="1">
      <alignment horizontal="right"/>
    </xf>
    <xf numFmtId="3" fontId="20" fillId="0" borderId="45" xfId="0" applyNumberFormat="1" applyFont="1" applyBorder="1" applyAlignment="1">
      <alignment/>
    </xf>
    <xf numFmtId="170" fontId="20" fillId="0" borderId="4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20" fillId="0" borderId="71" xfId="0" applyFont="1" applyBorder="1" applyAlignment="1">
      <alignment/>
    </xf>
    <xf numFmtId="0" fontId="0" fillId="0" borderId="71" xfId="0" applyBorder="1" applyAlignment="1">
      <alignment/>
    </xf>
    <xf numFmtId="3" fontId="0" fillId="0" borderId="71" xfId="0" applyNumberFormat="1" applyBorder="1" applyAlignment="1">
      <alignment/>
    </xf>
    <xf numFmtId="170" fontId="21" fillId="0" borderId="71" xfId="42" applyNumberFormat="1" applyFont="1" applyFill="1" applyBorder="1" applyAlignment="1">
      <alignment/>
    </xf>
    <xf numFmtId="3" fontId="20" fillId="0" borderId="71" xfId="0" applyNumberFormat="1" applyFont="1" applyBorder="1" applyAlignment="1">
      <alignment/>
    </xf>
    <xf numFmtId="165" fontId="0" fillId="0" borderId="0" xfId="0" applyNumberFormat="1" applyAlignment="1">
      <alignment/>
    </xf>
    <xf numFmtId="170" fontId="0" fillId="0" borderId="45" xfId="42" applyNumberFormat="1" applyFont="1" applyFill="1" applyBorder="1" applyAlignment="1">
      <alignment/>
    </xf>
    <xf numFmtId="170" fontId="0" fillId="0" borderId="60" xfId="42" applyNumberFormat="1" applyFont="1" applyBorder="1" applyAlignment="1">
      <alignment horizontal="left" vertical="center"/>
    </xf>
    <xf numFmtId="170" fontId="0" fillId="0" borderId="71" xfId="42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72" xfId="72" applyNumberFormat="1" applyFont="1" applyBorder="1" applyAlignment="1">
      <alignment horizontal="left" wrapText="1"/>
      <protection/>
    </xf>
    <xf numFmtId="0" fontId="26" fillId="0" borderId="42" xfId="67" applyFont="1" applyFill="1" applyBorder="1" applyAlignment="1">
      <alignment horizontal="center"/>
      <protection/>
    </xf>
    <xf numFmtId="0" fontId="26" fillId="0" borderId="73" xfId="67" applyFont="1" applyFill="1" applyBorder="1" applyAlignment="1">
      <alignment horizontal="center"/>
      <protection/>
    </xf>
    <xf numFmtId="0" fontId="26" fillId="0" borderId="44" xfId="67" applyFont="1" applyFill="1" applyBorder="1" applyAlignment="1">
      <alignment horizontal="center"/>
      <protection/>
    </xf>
    <xf numFmtId="17" fontId="26" fillId="0" borderId="42" xfId="67" applyNumberFormat="1" applyFont="1" applyFill="1" applyBorder="1" applyAlignment="1">
      <alignment horizontal="center"/>
      <protection/>
    </xf>
    <xf numFmtId="17" fontId="26" fillId="0" borderId="73" xfId="67" applyNumberFormat="1" applyFont="1" applyFill="1" applyBorder="1" applyAlignment="1">
      <alignment horizontal="center"/>
      <protection/>
    </xf>
    <xf numFmtId="17" fontId="26" fillId="0" borderId="44" xfId="67" applyNumberFormat="1" applyFont="1" applyFill="1" applyBorder="1" applyAlignment="1">
      <alignment horizontal="center"/>
      <protection/>
    </xf>
    <xf numFmtId="0" fontId="26" fillId="0" borderId="41" xfId="67" applyFont="1" applyFill="1" applyBorder="1" applyAlignment="1">
      <alignment horizontal="center"/>
      <protection/>
    </xf>
    <xf numFmtId="3" fontId="28" fillId="0" borderId="42" xfId="67" applyNumberFormat="1" applyFont="1" applyFill="1" applyBorder="1" applyAlignment="1">
      <alignment horizontal="center"/>
      <protection/>
    </xf>
    <xf numFmtId="3" fontId="28" fillId="0" borderId="73" xfId="67" applyNumberFormat="1" applyFont="1" applyFill="1" applyBorder="1" applyAlignment="1">
      <alignment horizontal="center"/>
      <protection/>
    </xf>
    <xf numFmtId="3" fontId="28" fillId="0" borderId="44" xfId="67" applyNumberFormat="1" applyFont="1" applyFill="1" applyBorder="1" applyAlignment="1">
      <alignment horizontal="center"/>
      <protection/>
    </xf>
    <xf numFmtId="3" fontId="29" fillId="0" borderId="73" xfId="67" applyNumberFormat="1" applyFont="1" applyFill="1" applyBorder="1" applyAlignment="1">
      <alignment horizontal="center"/>
      <protection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vertical="center" wrapText="1"/>
    </xf>
    <xf numFmtId="165" fontId="23" fillId="0" borderId="53" xfId="0" applyNumberFormat="1" applyFont="1" applyBorder="1" applyAlignment="1">
      <alignment vertical="center"/>
    </xf>
    <xf numFmtId="165" fontId="23" fillId="0" borderId="45" xfId="0" applyNumberFormat="1" applyFont="1" applyBorder="1" applyAlignment="1">
      <alignment vertical="center"/>
    </xf>
    <xf numFmtId="10" fontId="23" fillId="0" borderId="7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74" xfId="0" applyFont="1" applyBorder="1" applyAlignment="1">
      <alignment vertical="center"/>
    </xf>
    <xf numFmtId="165" fontId="23" fillId="0" borderId="59" xfId="0" applyNumberFormat="1" applyFont="1" applyBorder="1" applyAlignment="1">
      <alignment vertical="center"/>
    </xf>
    <xf numFmtId="165" fontId="23" fillId="0" borderId="60" xfId="0" applyNumberFormat="1" applyFont="1" applyBorder="1" applyAlignment="1">
      <alignment vertical="center"/>
    </xf>
    <xf numFmtId="10" fontId="23" fillId="0" borderId="61" xfId="0" applyNumberFormat="1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zoomScalePageLayoutView="0" workbookViewId="0" topLeftCell="A4">
      <selection activeCell="D38" sqref="D38"/>
    </sheetView>
  </sheetViews>
  <sheetFormatPr defaultColWidth="9.140625" defaultRowHeight="12.75"/>
  <cols>
    <col min="1" max="1" width="29.8515625" style="0" customWidth="1"/>
    <col min="2" max="2" width="16.57421875" style="173" customWidth="1"/>
    <col min="3" max="3" width="17.7109375" style="0" customWidth="1"/>
    <col min="4" max="4" width="14.140625" style="0" customWidth="1"/>
    <col min="5" max="6" width="12.28125" style="0" customWidth="1"/>
    <col min="7" max="7" width="14.7109375" style="0" customWidth="1"/>
    <col min="8" max="8" width="15.28125" style="0" customWidth="1"/>
  </cols>
  <sheetData>
    <row r="2" spans="1:8" ht="17.25">
      <c r="A2" s="386" t="s">
        <v>0</v>
      </c>
      <c r="B2" s="386"/>
      <c r="C2" s="386"/>
      <c r="D2" s="386"/>
      <c r="E2" s="386"/>
      <c r="F2" s="386"/>
      <c r="G2" s="386"/>
      <c r="H2" s="386"/>
    </row>
    <row r="3" spans="1:8" ht="15">
      <c r="A3" s="387" t="s">
        <v>1</v>
      </c>
      <c r="B3" s="387"/>
      <c r="C3" s="387"/>
      <c r="D3" s="387"/>
      <c r="E3" s="387"/>
      <c r="F3" s="387"/>
      <c r="G3" s="387"/>
      <c r="H3" s="387"/>
    </row>
    <row r="4" spans="1:8" ht="15">
      <c r="A4" s="387" t="s">
        <v>179</v>
      </c>
      <c r="B4" s="387"/>
      <c r="C4" s="387"/>
      <c r="D4" s="387"/>
      <c r="E4" s="387"/>
      <c r="F4" s="387"/>
      <c r="G4" s="387"/>
      <c r="H4" s="387"/>
    </row>
    <row r="5" spans="1:8" ht="12.75">
      <c r="A5" s="1"/>
      <c r="B5" s="172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76" t="s">
        <v>3</v>
      </c>
      <c r="C7" s="168" t="s">
        <v>180</v>
      </c>
      <c r="D7" s="2" t="s">
        <v>4</v>
      </c>
      <c r="E7" s="168" t="s">
        <v>127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74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75"/>
      <c r="C9" s="5"/>
      <c r="D9" s="5"/>
      <c r="E9" s="5"/>
      <c r="F9" s="5"/>
      <c r="G9" s="5"/>
      <c r="H9" s="5"/>
    </row>
    <row r="10" spans="1:8" s="3" customFormat="1" ht="15">
      <c r="A10" s="6" t="s">
        <v>12</v>
      </c>
      <c r="B10" s="175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78">
        <v>90530000</v>
      </c>
      <c r="C11" s="178">
        <f>SDBIP!G32</f>
        <v>67898000</v>
      </c>
      <c r="D11" s="178">
        <v>67898000</v>
      </c>
      <c r="E11" s="8">
        <f>C11/B11</f>
        <v>0.7500055230310394</v>
      </c>
      <c r="F11" s="8">
        <f>+D11/B11*100%</f>
        <v>0.7500055230310394</v>
      </c>
      <c r="G11" s="8">
        <f>+E11-F11</f>
        <v>0</v>
      </c>
      <c r="H11" s="5"/>
    </row>
    <row r="12" spans="1:8" s="3" customFormat="1" ht="15">
      <c r="A12" s="5" t="s">
        <v>14</v>
      </c>
      <c r="B12" s="179">
        <v>1000000</v>
      </c>
      <c r="C12" s="183">
        <f>SDBIP!G34</f>
        <v>500000</v>
      </c>
      <c r="D12" s="180">
        <v>78614</v>
      </c>
      <c r="E12" s="8">
        <f>C12/B12</f>
        <v>0.5</v>
      </c>
      <c r="F12" s="8">
        <f>D12/B12*100%</f>
        <v>0.078614</v>
      </c>
      <c r="G12" s="8">
        <f>E12-F12</f>
        <v>0.421386</v>
      </c>
      <c r="H12" s="167" t="s">
        <v>15</v>
      </c>
    </row>
    <row r="13" spans="1:8" s="3" customFormat="1" ht="15">
      <c r="A13" s="5" t="s">
        <v>16</v>
      </c>
      <c r="B13" s="178">
        <v>1250000</v>
      </c>
      <c r="C13" s="183">
        <f>SDBIP!G33</f>
        <v>625000</v>
      </c>
      <c r="D13" s="180">
        <v>276279</v>
      </c>
      <c r="E13" s="8">
        <f>C13/B13</f>
        <v>0.5</v>
      </c>
      <c r="F13" s="8">
        <f>D13/B13*100%</f>
        <v>0.2210232</v>
      </c>
      <c r="G13" s="8">
        <f>E13-F13</f>
        <v>0.2789768</v>
      </c>
      <c r="H13" s="167" t="s">
        <v>17</v>
      </c>
    </row>
    <row r="14" spans="1:8" s="3" customFormat="1" ht="15">
      <c r="A14" s="5" t="s">
        <v>18</v>
      </c>
      <c r="B14" s="181">
        <v>8772000</v>
      </c>
      <c r="C14" s="183">
        <f>SDBIP!G35</f>
        <v>4386000</v>
      </c>
      <c r="D14" s="180">
        <v>0</v>
      </c>
      <c r="E14" s="8">
        <f>C14/B14</f>
        <v>0.5</v>
      </c>
      <c r="F14" s="8">
        <f>D14/B14*100%</f>
        <v>0</v>
      </c>
      <c r="G14" s="8">
        <f>E14-F14</f>
        <v>0.5</v>
      </c>
      <c r="H14" s="167" t="s">
        <v>168</v>
      </c>
    </row>
    <row r="15" spans="1:8" s="3" customFormat="1" ht="15" hidden="1">
      <c r="A15" s="5"/>
      <c r="B15" s="181"/>
      <c r="C15" s="184"/>
      <c r="D15" s="178"/>
      <c r="E15" s="8"/>
      <c r="F15" s="8"/>
      <c r="G15" s="8">
        <f>+E15-F15</f>
        <v>0</v>
      </c>
      <c r="H15" s="157"/>
    </row>
    <row r="16" spans="1:8" s="3" customFormat="1" ht="15" hidden="1">
      <c r="A16" s="167"/>
      <c r="B16" s="182"/>
      <c r="C16" s="184"/>
      <c r="D16" s="180"/>
      <c r="E16" s="8"/>
      <c r="F16" s="8"/>
      <c r="G16" s="8"/>
      <c r="H16" s="167"/>
    </row>
    <row r="17" spans="1:8" s="3" customFormat="1" ht="15" hidden="1">
      <c r="A17" s="167"/>
      <c r="B17" s="182"/>
      <c r="C17" s="184"/>
      <c r="D17" s="180"/>
      <c r="E17" s="8"/>
      <c r="F17" s="8"/>
      <c r="G17" s="8"/>
      <c r="H17" s="167"/>
    </row>
    <row r="18" spans="1:8" s="3" customFormat="1" ht="15" hidden="1">
      <c r="A18" s="167"/>
      <c r="B18" s="182"/>
      <c r="C18" s="184"/>
      <c r="D18" s="180"/>
      <c r="E18" s="8"/>
      <c r="F18" s="8"/>
      <c r="G18" s="8"/>
      <c r="H18" s="167"/>
    </row>
    <row r="19" spans="1:8" s="3" customFormat="1" ht="15" hidden="1">
      <c r="A19" s="167"/>
      <c r="B19" s="182"/>
      <c r="C19" s="184"/>
      <c r="D19" s="180"/>
      <c r="E19" s="8"/>
      <c r="F19" s="8"/>
      <c r="G19" s="8"/>
      <c r="H19" s="167"/>
    </row>
    <row r="20" spans="1:8" s="3" customFormat="1" ht="15" hidden="1">
      <c r="A20" s="167"/>
      <c r="B20" s="182"/>
      <c r="C20" s="184"/>
      <c r="D20" s="180"/>
      <c r="E20" s="8"/>
      <c r="F20" s="8"/>
      <c r="G20" s="8"/>
      <c r="H20" s="167"/>
    </row>
    <row r="21" spans="1:8" s="3" customFormat="1" ht="15" hidden="1">
      <c r="A21" s="167"/>
      <c r="B21" s="182"/>
      <c r="C21" s="184"/>
      <c r="D21" s="180"/>
      <c r="E21" s="8"/>
      <c r="F21" s="225"/>
      <c r="G21" s="8"/>
      <c r="H21" s="167"/>
    </row>
    <row r="22" spans="1:8" s="3" customFormat="1" ht="15" hidden="1">
      <c r="A22" s="167"/>
      <c r="B22" s="182"/>
      <c r="C22" s="184"/>
      <c r="D22" s="180"/>
      <c r="E22" s="8"/>
      <c r="F22" s="225"/>
      <c r="G22" s="8"/>
      <c r="H22" s="167"/>
    </row>
    <row r="23" spans="1:8" s="3" customFormat="1" ht="15" hidden="1">
      <c r="A23" s="167"/>
      <c r="B23" s="182"/>
      <c r="C23" s="182"/>
      <c r="D23" s="180"/>
      <c r="E23" s="8"/>
      <c r="F23" s="225"/>
      <c r="G23" s="8"/>
      <c r="H23" s="167"/>
    </row>
    <row r="24" spans="1:8" s="3" customFormat="1" ht="15">
      <c r="A24" s="167" t="s">
        <v>140</v>
      </c>
      <c r="B24" s="182">
        <v>200000</v>
      </c>
      <c r="C24" s="183">
        <f>SDBIP!G36</f>
        <v>33333</v>
      </c>
      <c r="D24" s="180">
        <v>16608</v>
      </c>
      <c r="E24" s="8">
        <f>C24/B24</f>
        <v>0.166665</v>
      </c>
      <c r="F24" s="8">
        <f>D24/B24*100%</f>
        <v>0.08304</v>
      </c>
      <c r="G24" s="8">
        <f>E24-F24</f>
        <v>0.083625</v>
      </c>
      <c r="H24" s="167"/>
    </row>
    <row r="25" spans="1:8" s="3" customFormat="1" ht="15">
      <c r="A25" s="167" t="s">
        <v>195</v>
      </c>
      <c r="B25" s="182">
        <v>1000000</v>
      </c>
      <c r="C25" s="183">
        <f>SDBIP!G37</f>
        <v>500000</v>
      </c>
      <c r="D25" s="180">
        <v>303645</v>
      </c>
      <c r="E25" s="8">
        <f>C25/B25</f>
        <v>0.5</v>
      </c>
      <c r="F25" s="8">
        <f>+D25/B25*100%</f>
        <v>0.303645</v>
      </c>
      <c r="G25" s="8">
        <f>E25-F25</f>
        <v>0.196355</v>
      </c>
      <c r="H25" s="167" t="s">
        <v>142</v>
      </c>
    </row>
    <row r="26" spans="1:8" s="3" customFormat="1" ht="15">
      <c r="A26" s="167"/>
      <c r="B26" s="182"/>
      <c r="C26" s="183"/>
      <c r="D26" s="180"/>
      <c r="E26" s="8"/>
      <c r="F26" s="8"/>
      <c r="G26" s="8"/>
      <c r="H26" s="167"/>
    </row>
    <row r="27" spans="1:8" s="3" customFormat="1" ht="15">
      <c r="A27" s="5"/>
      <c r="B27" s="178"/>
      <c r="C27" s="180"/>
      <c r="D27" s="178"/>
      <c r="E27" s="5"/>
      <c r="F27" s="5"/>
      <c r="G27" s="167"/>
      <c r="H27" s="167"/>
    </row>
    <row r="28" spans="1:8" s="3" customFormat="1" ht="15" hidden="1">
      <c r="A28" s="6"/>
      <c r="B28" s="178"/>
      <c r="C28" s="180"/>
      <c r="D28" s="178"/>
      <c r="E28" s="5"/>
      <c r="F28" s="5"/>
      <c r="G28" s="167"/>
      <c r="H28" s="167"/>
    </row>
    <row r="29" spans="1:8" s="3" customFormat="1" ht="15" hidden="1">
      <c r="A29" s="5"/>
      <c r="B29" s="181"/>
      <c r="C29" s="183"/>
      <c r="D29" s="178"/>
      <c r="E29" s="8"/>
      <c r="F29" s="5"/>
      <c r="G29" s="167"/>
      <c r="H29" s="167"/>
    </row>
    <row r="30" spans="1:8" s="3" customFormat="1" ht="15">
      <c r="A30" s="6" t="s">
        <v>19</v>
      </c>
      <c r="B30" s="181"/>
      <c r="C30" s="184"/>
      <c r="D30" s="180"/>
      <c r="E30" s="8"/>
      <c r="F30" s="8"/>
      <c r="G30" s="8"/>
      <c r="H30" s="167"/>
    </row>
    <row r="31" spans="1:8" s="3" customFormat="1" ht="15">
      <c r="A31" s="5" t="s">
        <v>20</v>
      </c>
      <c r="B31" s="178">
        <v>300000</v>
      </c>
      <c r="C31" s="183">
        <f>SDBIP!G28</f>
        <v>150000</v>
      </c>
      <c r="D31" s="180">
        <v>127007</v>
      </c>
      <c r="E31" s="8">
        <f>C31/B31</f>
        <v>0.5</v>
      </c>
      <c r="F31" s="8">
        <f>+D31/B31*100%</f>
        <v>0.42335666666666666</v>
      </c>
      <c r="G31" s="8">
        <f>E31-F31</f>
        <v>0.07664333333333334</v>
      </c>
      <c r="H31" s="167"/>
    </row>
    <row r="32" spans="1:8" s="3" customFormat="1" ht="15">
      <c r="A32" s="5" t="s">
        <v>21</v>
      </c>
      <c r="B32" s="178">
        <v>6000000</v>
      </c>
      <c r="C32" s="183">
        <f>SDBIP!G27</f>
        <v>3000000</v>
      </c>
      <c r="D32" s="178">
        <v>2516705</v>
      </c>
      <c r="E32" s="8">
        <f>C32/B32</f>
        <v>0.5</v>
      </c>
      <c r="F32" s="8">
        <f>+D32/B32*100%</f>
        <v>0.41945083333333333</v>
      </c>
      <c r="G32" s="8">
        <f>E32-F32</f>
        <v>0.08054916666666667</v>
      </c>
      <c r="H32" s="167"/>
    </row>
    <row r="33" spans="1:8" s="3" customFormat="1" ht="15">
      <c r="A33" s="9" t="s">
        <v>22</v>
      </c>
      <c r="B33" s="178">
        <v>745000</v>
      </c>
      <c r="C33" s="183">
        <f>SDBIP!G26+SDBIP!G29</f>
        <v>372500</v>
      </c>
      <c r="D33" s="178">
        <v>375654</v>
      </c>
      <c r="E33" s="8">
        <f>C33/B33</f>
        <v>0.5</v>
      </c>
      <c r="F33" s="8">
        <f>D33/B33*100%</f>
        <v>0.5042335570469799</v>
      </c>
      <c r="G33" s="8">
        <f>E33-F33</f>
        <v>-0.004233557046979919</v>
      </c>
      <c r="H33" s="167" t="s">
        <v>169</v>
      </c>
    </row>
    <row r="34" spans="1:8" s="3" customFormat="1" ht="15">
      <c r="A34" s="5" t="s">
        <v>24</v>
      </c>
      <c r="B34" s="181">
        <v>72950</v>
      </c>
      <c r="C34" s="183">
        <f>SDBIP!G30</f>
        <v>36475</v>
      </c>
      <c r="D34" s="178">
        <v>203564</v>
      </c>
      <c r="E34" s="8">
        <f>C34/B34</f>
        <v>0.5</v>
      </c>
      <c r="F34" s="8">
        <f>D34/B34*100%</f>
        <v>2.7904592186429062</v>
      </c>
      <c r="G34" s="8">
        <f>E34-F34</f>
        <v>-2.2904592186429062</v>
      </c>
      <c r="H34" s="167" t="s">
        <v>178</v>
      </c>
    </row>
    <row r="35" spans="1:8" s="3" customFormat="1" ht="15">
      <c r="A35" s="5"/>
      <c r="B35" s="180"/>
      <c r="C35" s="180"/>
      <c r="D35" s="178"/>
      <c r="E35" s="8"/>
      <c r="F35" s="8"/>
      <c r="G35" s="8"/>
      <c r="H35" s="167"/>
    </row>
    <row r="36" spans="1:8" s="3" customFormat="1" ht="15">
      <c r="A36" s="6" t="s">
        <v>25</v>
      </c>
      <c r="B36" s="177">
        <f>SUM(B10:B35)</f>
        <v>109869950</v>
      </c>
      <c r="C36" s="169">
        <f>SUM(C10:C35)</f>
        <v>77501308</v>
      </c>
      <c r="D36" s="10">
        <f>SUM(D10:D35)</f>
        <v>71796076</v>
      </c>
      <c r="E36" s="11">
        <f>C36/B36</f>
        <v>0.7053913103628426</v>
      </c>
      <c r="F36" s="11">
        <f>D36/B36*100%</f>
        <v>0.6534641728698338</v>
      </c>
      <c r="G36" s="11">
        <f>E36-F36</f>
        <v>0.05192713749300881</v>
      </c>
      <c r="H36" s="5"/>
    </row>
    <row r="37" spans="1:8" s="3" customFormat="1" ht="15">
      <c r="A37" s="6"/>
      <c r="B37" s="177"/>
      <c r="C37" s="169"/>
      <c r="D37" s="10"/>
      <c r="E37" s="11"/>
      <c r="F37" s="11"/>
      <c r="G37" s="11"/>
      <c r="H37" s="5"/>
    </row>
    <row r="38" spans="1:8" s="12" customFormat="1" ht="15">
      <c r="A38" s="6"/>
      <c r="B38" s="177"/>
      <c r="C38" s="169"/>
      <c r="D38" s="10"/>
      <c r="E38" s="11"/>
      <c r="F38" s="11"/>
      <c r="G38" s="11"/>
      <c r="H38" s="6"/>
    </row>
    <row r="39" spans="1:8" s="3" customFormat="1" ht="15">
      <c r="A39" s="5"/>
      <c r="B39" s="175"/>
      <c r="C39" s="7"/>
      <c r="D39" s="7"/>
      <c r="E39" s="4"/>
      <c r="F39" s="5"/>
      <c r="G39" s="5"/>
      <c r="H39" s="5"/>
    </row>
    <row r="40" spans="1:8" s="3" customFormat="1" ht="15">
      <c r="A40" s="5"/>
      <c r="B40" s="175"/>
      <c r="C40" s="7"/>
      <c r="D40" s="7"/>
      <c r="E40" s="5"/>
      <c r="F40" s="5"/>
      <c r="G40" s="5"/>
      <c r="H40" s="5"/>
    </row>
    <row r="41" s="3" customFormat="1" ht="15">
      <c r="B41" s="173"/>
    </row>
    <row r="42" s="3" customFormat="1" ht="15">
      <c r="B42" s="173"/>
    </row>
  </sheetData>
  <sheetProtection/>
  <mergeCells count="3">
    <mergeCell ref="A2:H2"/>
    <mergeCell ref="A3:H3"/>
    <mergeCell ref="A4:H4"/>
  </mergeCells>
  <printOptions/>
  <pageMargins left="0.71" right="0.15763888888888888" top="0.9840277777777778" bottom="0.9840277777777778" header="0.5118055555555556" footer="0.5118055555555556"/>
  <pageSetup fitToHeight="1" fitToWidth="1"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4">
      <selection activeCell="G53" sqref="G53"/>
    </sheetView>
  </sheetViews>
  <sheetFormatPr defaultColWidth="9.140625" defaultRowHeight="12.75"/>
  <cols>
    <col min="1" max="1" width="43.421875" style="0" customWidth="1"/>
    <col min="2" max="2" width="14.281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4.7109375" style="0" customWidth="1"/>
  </cols>
  <sheetData>
    <row r="1" spans="1:8" ht="17.25">
      <c r="A1" s="386" t="s">
        <v>26</v>
      </c>
      <c r="B1" s="386"/>
      <c r="C1" s="386"/>
      <c r="D1" s="386"/>
      <c r="E1" s="386"/>
      <c r="F1" s="386"/>
      <c r="G1" s="386"/>
      <c r="H1" s="386"/>
    </row>
    <row r="2" spans="1:8" ht="15">
      <c r="A2" s="387" t="s">
        <v>27</v>
      </c>
      <c r="B2" s="387"/>
      <c r="C2" s="387"/>
      <c r="D2" s="387"/>
      <c r="E2" s="387"/>
      <c r="F2" s="387"/>
      <c r="G2" s="387"/>
      <c r="H2" s="387"/>
    </row>
    <row r="3" spans="1:8" ht="15">
      <c r="A3" s="387" t="s">
        <v>181</v>
      </c>
      <c r="B3" s="387"/>
      <c r="C3" s="387"/>
      <c r="D3" s="387"/>
      <c r="E3" s="387"/>
      <c r="F3" s="387"/>
      <c r="G3" s="387"/>
      <c r="H3" s="387"/>
    </row>
    <row r="4" spans="1:8" ht="15">
      <c r="A4" s="13"/>
      <c r="B4" s="14"/>
      <c r="C4" s="14"/>
      <c r="D4" s="14"/>
      <c r="E4" s="14"/>
      <c r="F4" s="14"/>
      <c r="G4" s="14"/>
      <c r="H4" s="14"/>
    </row>
    <row r="5" spans="1:6" ht="12" customHeight="1">
      <c r="A5" s="15"/>
      <c r="B5" s="15"/>
      <c r="C5" s="15"/>
      <c r="D5" s="15"/>
      <c r="E5" s="15"/>
      <c r="F5" s="15"/>
    </row>
    <row r="6" spans="1:8" s="19" customFormat="1" ht="41.25">
      <c r="A6" s="16" t="s">
        <v>28</v>
      </c>
      <c r="B6" s="17" t="s">
        <v>29</v>
      </c>
      <c r="C6" s="17" t="s">
        <v>182</v>
      </c>
      <c r="D6" s="17" t="s">
        <v>30</v>
      </c>
      <c r="E6" s="17" t="s">
        <v>31</v>
      </c>
      <c r="F6" s="17" t="s">
        <v>32</v>
      </c>
      <c r="G6" s="18" t="s">
        <v>6</v>
      </c>
      <c r="H6" s="17" t="s">
        <v>7</v>
      </c>
    </row>
    <row r="7" spans="1:8" s="19" customFormat="1" ht="13.5">
      <c r="A7" s="20" t="s">
        <v>8</v>
      </c>
      <c r="B7" s="21" t="s">
        <v>8</v>
      </c>
      <c r="C7" s="21" t="s">
        <v>8</v>
      </c>
      <c r="D7" s="21" t="s">
        <v>8</v>
      </c>
      <c r="E7" s="21" t="s">
        <v>9</v>
      </c>
      <c r="F7" s="21" t="s">
        <v>10</v>
      </c>
      <c r="G7" s="21" t="s">
        <v>33</v>
      </c>
      <c r="H7" s="22"/>
    </row>
    <row r="8" spans="1:8" s="19" customFormat="1" ht="13.5">
      <c r="A8" s="20"/>
      <c r="B8" s="21"/>
      <c r="C8" s="21"/>
      <c r="D8" s="21"/>
      <c r="E8" s="21"/>
      <c r="F8" s="21"/>
      <c r="G8" s="21"/>
      <c r="H8" s="22"/>
    </row>
    <row r="9" spans="1:8" s="19" customFormat="1" ht="15">
      <c r="A9" s="23" t="s">
        <v>34</v>
      </c>
      <c r="B9" s="24">
        <v>11112910</v>
      </c>
      <c r="C9" s="25">
        <f>SDBIP!C10</f>
        <v>5556455</v>
      </c>
      <c r="D9" s="24">
        <v>4686046</v>
      </c>
      <c r="E9" s="26">
        <f>C9/B9</f>
        <v>0.5</v>
      </c>
      <c r="F9" s="26">
        <f>D9/B9</f>
        <v>0.42167587067653745</v>
      </c>
      <c r="G9" s="26">
        <f>E9-F9</f>
        <v>0.07832412932346255</v>
      </c>
      <c r="H9" s="5"/>
    </row>
    <row r="10" spans="1:8" s="19" customFormat="1" ht="13.5" hidden="1">
      <c r="A10" s="22" t="s">
        <v>35</v>
      </c>
      <c r="B10" s="27">
        <v>2858485</v>
      </c>
      <c r="C10" s="28">
        <v>714621</v>
      </c>
      <c r="D10" s="27"/>
      <c r="E10" s="29">
        <v>0.25</v>
      </c>
      <c r="F10" s="26">
        <v>0.2269</v>
      </c>
      <c r="G10" s="26">
        <v>0.0231</v>
      </c>
      <c r="H10" s="22"/>
    </row>
    <row r="11" spans="1:8" s="19" customFormat="1" ht="13.5" hidden="1">
      <c r="A11" s="22" t="s">
        <v>36</v>
      </c>
      <c r="B11" s="27">
        <v>1419300</v>
      </c>
      <c r="C11" s="28">
        <v>354824.85</v>
      </c>
      <c r="D11" s="27"/>
      <c r="E11" s="29">
        <v>0.25</v>
      </c>
      <c r="F11" s="26">
        <v>0.1466</v>
      </c>
      <c r="G11" s="26">
        <v>0.1034</v>
      </c>
      <c r="H11" s="22"/>
    </row>
    <row r="12" spans="1:8" s="19" customFormat="1" ht="13.5" hidden="1">
      <c r="A12" s="22" t="s">
        <v>37</v>
      </c>
      <c r="B12" s="27">
        <v>17000</v>
      </c>
      <c r="C12" s="28">
        <v>4249.98</v>
      </c>
      <c r="D12" s="27"/>
      <c r="E12" s="29">
        <v>0.25</v>
      </c>
      <c r="F12" s="26">
        <v>0.0322</v>
      </c>
      <c r="G12" s="26">
        <v>0.2178</v>
      </c>
      <c r="H12" s="22"/>
    </row>
    <row r="13" spans="1:8" s="19" customFormat="1" ht="13.5" hidden="1">
      <c r="A13" s="22" t="s">
        <v>38</v>
      </c>
      <c r="B13" s="27">
        <v>10000</v>
      </c>
      <c r="C13" s="28">
        <v>2499.99</v>
      </c>
      <c r="D13" s="27"/>
      <c r="E13" s="29">
        <v>0.25</v>
      </c>
      <c r="F13" s="26">
        <v>0</v>
      </c>
      <c r="G13" s="26">
        <v>0.25</v>
      </c>
      <c r="H13" s="22"/>
    </row>
    <row r="14" spans="1:8" s="19" customFormat="1" ht="13.5" hidden="1">
      <c r="A14" s="22" t="s">
        <v>39</v>
      </c>
      <c r="B14" s="27">
        <v>160000</v>
      </c>
      <c r="C14" s="28">
        <v>39999.99</v>
      </c>
      <c r="D14" s="27"/>
      <c r="E14" s="29">
        <v>0.25</v>
      </c>
      <c r="F14" s="26">
        <v>0</v>
      </c>
      <c r="G14" s="26">
        <v>0.25</v>
      </c>
      <c r="H14" s="22"/>
    </row>
    <row r="15" spans="1:8" s="19" customFormat="1" ht="13.5">
      <c r="A15" s="22"/>
      <c r="B15" s="27" t="s">
        <v>8</v>
      </c>
      <c r="C15" s="25"/>
      <c r="D15" s="27"/>
      <c r="E15" s="29"/>
      <c r="F15" s="26"/>
      <c r="G15" s="26"/>
      <c r="H15" s="22"/>
    </row>
    <row r="16" spans="1:8" s="19" customFormat="1" ht="15">
      <c r="A16" s="30" t="s">
        <v>40</v>
      </c>
      <c r="B16" s="27">
        <v>7611539</v>
      </c>
      <c r="C16" s="25">
        <f>SDBIP!C11</f>
        <v>3805770</v>
      </c>
      <c r="D16" s="27">
        <v>3125053</v>
      </c>
      <c r="E16" s="26">
        <f>C16/B16</f>
        <v>0.5000000656897376</v>
      </c>
      <c r="F16" s="26">
        <f>D16/B16</f>
        <v>0.4105678234060155</v>
      </c>
      <c r="G16" s="26">
        <f>E16-F16</f>
        <v>0.08943224228372215</v>
      </c>
      <c r="H16" s="5"/>
    </row>
    <row r="17" spans="1:8" s="19" customFormat="1" ht="13.5" hidden="1">
      <c r="A17" s="22" t="s">
        <v>35</v>
      </c>
      <c r="B17" s="27">
        <v>1245735</v>
      </c>
      <c r="C17" s="28">
        <v>311433.6</v>
      </c>
      <c r="D17" s="27"/>
      <c r="E17" s="29">
        <v>0.25</v>
      </c>
      <c r="F17" s="26">
        <v>0.1438</v>
      </c>
      <c r="G17" s="26">
        <v>0.1062</v>
      </c>
      <c r="H17" s="22"/>
    </row>
    <row r="18" spans="1:8" s="19" customFormat="1" ht="13.5" hidden="1">
      <c r="A18" s="22" t="s">
        <v>36</v>
      </c>
      <c r="B18" s="27">
        <v>559500</v>
      </c>
      <c r="C18" s="28">
        <v>139874.85</v>
      </c>
      <c r="D18" s="27"/>
      <c r="E18" s="29">
        <v>0.25</v>
      </c>
      <c r="F18" s="26">
        <v>0.8229</v>
      </c>
      <c r="G18" s="26">
        <v>-0.5729</v>
      </c>
      <c r="H18" s="22"/>
    </row>
    <row r="19" spans="1:8" s="19" customFormat="1" ht="13.5" hidden="1">
      <c r="A19" s="22" t="s">
        <v>37</v>
      </c>
      <c r="B19" s="27">
        <v>1000</v>
      </c>
      <c r="C19" s="28">
        <v>249.99</v>
      </c>
      <c r="D19" s="27"/>
      <c r="E19" s="29">
        <v>0.25</v>
      </c>
      <c r="F19" s="31">
        <v>0</v>
      </c>
      <c r="G19" s="31">
        <v>0.25</v>
      </c>
      <c r="H19" s="22"/>
    </row>
    <row r="20" spans="1:8" s="19" customFormat="1" ht="13.5" hidden="1">
      <c r="A20" s="22" t="s">
        <v>38</v>
      </c>
      <c r="B20" s="27">
        <v>20000</v>
      </c>
      <c r="C20" s="28">
        <v>4999.98</v>
      </c>
      <c r="D20" s="27"/>
      <c r="E20" s="29">
        <v>0.25</v>
      </c>
      <c r="F20" s="31">
        <v>0</v>
      </c>
      <c r="G20" s="31">
        <v>0.25</v>
      </c>
      <c r="H20" s="22"/>
    </row>
    <row r="21" spans="1:8" s="19" customFormat="1" ht="13.5">
      <c r="A21" s="22"/>
      <c r="B21" s="27" t="s">
        <v>8</v>
      </c>
      <c r="C21" s="28"/>
      <c r="D21" s="27"/>
      <c r="E21" s="29"/>
      <c r="F21" s="31"/>
      <c r="G21" s="31"/>
      <c r="H21" s="22"/>
    </row>
    <row r="22" spans="1:8" s="19" customFormat="1" ht="15">
      <c r="A22" s="30" t="s">
        <v>41</v>
      </c>
      <c r="B22" s="27">
        <v>14003214</v>
      </c>
      <c r="C22" s="25">
        <f>SDBIP!C12</f>
        <v>7001607</v>
      </c>
      <c r="D22" s="27">
        <v>5942790</v>
      </c>
      <c r="E22" s="26">
        <f>C22/B22</f>
        <v>0.5</v>
      </c>
      <c r="F22" s="26">
        <f>D22/B22</f>
        <v>0.4243875727386584</v>
      </c>
      <c r="G22" s="26">
        <f>E22-F22</f>
        <v>0.0756124272613416</v>
      </c>
      <c r="H22" s="5"/>
    </row>
    <row r="23" spans="1:8" s="19" customFormat="1" ht="13.5" hidden="1">
      <c r="A23" s="22" t="s">
        <v>35</v>
      </c>
      <c r="B23" s="27">
        <v>3126155</v>
      </c>
      <c r="C23" s="28">
        <v>781538.64</v>
      </c>
      <c r="D23" s="27"/>
      <c r="E23" s="29">
        <v>0.25</v>
      </c>
      <c r="F23" s="26">
        <v>0.165</v>
      </c>
      <c r="G23" s="26">
        <v>0.085</v>
      </c>
      <c r="H23" s="22"/>
    </row>
    <row r="24" spans="1:8" s="19" customFormat="1" ht="13.5" hidden="1">
      <c r="A24" s="22" t="s">
        <v>36</v>
      </c>
      <c r="B24" s="27">
        <v>707500</v>
      </c>
      <c r="C24" s="28">
        <v>176874.78</v>
      </c>
      <c r="D24" s="27"/>
      <c r="E24" s="29">
        <v>0.25</v>
      </c>
      <c r="F24" s="26">
        <v>0.1785</v>
      </c>
      <c r="G24" s="26">
        <v>0.0715</v>
      </c>
      <c r="H24" s="22"/>
    </row>
    <row r="25" spans="1:8" s="19" customFormat="1" ht="13.5" hidden="1">
      <c r="A25" s="22" t="s">
        <v>37</v>
      </c>
      <c r="B25" s="27">
        <v>103200</v>
      </c>
      <c r="C25" s="28">
        <v>25799.94</v>
      </c>
      <c r="D25" s="27"/>
      <c r="E25" s="29">
        <v>0.25</v>
      </c>
      <c r="F25" s="26">
        <v>0.1173</v>
      </c>
      <c r="G25" s="26">
        <v>0.1327</v>
      </c>
      <c r="H25" s="22"/>
    </row>
    <row r="26" spans="1:8" s="19" customFormat="1" ht="13.5" hidden="1">
      <c r="A26" s="22" t="s">
        <v>38</v>
      </c>
      <c r="B26" s="27">
        <v>207000</v>
      </c>
      <c r="C26" s="28">
        <v>51749.97</v>
      </c>
      <c r="D26" s="27"/>
      <c r="E26" s="29">
        <v>0.25</v>
      </c>
      <c r="F26" s="26">
        <v>0.0229</v>
      </c>
      <c r="G26" s="26">
        <v>0.2271</v>
      </c>
      <c r="H26" s="22"/>
    </row>
    <row r="27" spans="1:8" s="19" customFormat="1" ht="13.5">
      <c r="A27" s="22"/>
      <c r="B27" s="27" t="s">
        <v>8</v>
      </c>
      <c r="C27" s="28"/>
      <c r="D27" s="27"/>
      <c r="E27" s="29"/>
      <c r="F27" s="26"/>
      <c r="G27" s="26"/>
      <c r="H27" s="22"/>
    </row>
    <row r="28" spans="1:8" s="19" customFormat="1" ht="13.5">
      <c r="A28" s="30" t="s">
        <v>42</v>
      </c>
      <c r="B28" s="27">
        <v>4386464</v>
      </c>
      <c r="C28" s="25">
        <f>SDBIP!C13</f>
        <v>2193232</v>
      </c>
      <c r="D28" s="27">
        <v>1892500</v>
      </c>
      <c r="E28" s="26">
        <f>C28/B28</f>
        <v>0.5</v>
      </c>
      <c r="F28" s="26">
        <f>D28/B28</f>
        <v>0.431440905476484</v>
      </c>
      <c r="G28" s="26">
        <f>E28-F28</f>
        <v>0.068559094523516</v>
      </c>
      <c r="H28" s="22"/>
    </row>
    <row r="29" spans="1:8" s="19" customFormat="1" ht="13.5" hidden="1">
      <c r="A29" s="22" t="s">
        <v>35</v>
      </c>
      <c r="B29" s="27">
        <v>1443510</v>
      </c>
      <c r="C29" s="28">
        <v>360877.41</v>
      </c>
      <c r="D29" s="27"/>
      <c r="E29" s="29">
        <v>0.25</v>
      </c>
      <c r="F29" s="26">
        <v>0.1594</v>
      </c>
      <c r="G29" s="26">
        <v>0.0906</v>
      </c>
      <c r="H29" s="22"/>
    </row>
    <row r="30" spans="1:8" s="19" customFormat="1" ht="13.5" hidden="1">
      <c r="A30" s="22" t="s">
        <v>43</v>
      </c>
      <c r="B30" s="27">
        <v>168000</v>
      </c>
      <c r="C30" s="28">
        <v>41999.88</v>
      </c>
      <c r="D30" s="27"/>
      <c r="E30" s="29">
        <v>0.25</v>
      </c>
      <c r="F30" s="26">
        <v>0.1457</v>
      </c>
      <c r="G30" s="26">
        <v>0.1043</v>
      </c>
      <c r="H30" s="22"/>
    </row>
    <row r="31" spans="1:8" s="19" customFormat="1" ht="13.5" hidden="1">
      <c r="A31" s="22" t="s">
        <v>37</v>
      </c>
      <c r="B31" s="27">
        <v>1000</v>
      </c>
      <c r="C31" s="28">
        <v>249.99</v>
      </c>
      <c r="D31" s="27"/>
      <c r="E31" s="29">
        <v>0.25</v>
      </c>
      <c r="F31" s="31">
        <v>0</v>
      </c>
      <c r="G31" s="31">
        <v>0.25</v>
      </c>
      <c r="H31" s="22"/>
    </row>
    <row r="32" spans="1:8" s="19" customFormat="1" ht="13.5" hidden="1">
      <c r="A32" s="22" t="s">
        <v>38</v>
      </c>
      <c r="B32" s="27">
        <v>35000</v>
      </c>
      <c r="C32" s="28">
        <v>8749.98</v>
      </c>
      <c r="D32" s="27"/>
      <c r="E32" s="29">
        <v>0.25</v>
      </c>
      <c r="F32" s="31">
        <v>0</v>
      </c>
      <c r="G32" s="31">
        <v>0.25</v>
      </c>
      <c r="H32" s="22"/>
    </row>
    <row r="33" spans="1:8" s="19" customFormat="1" ht="13.5">
      <c r="A33" s="22"/>
      <c r="B33" s="27" t="s">
        <v>8</v>
      </c>
      <c r="C33" s="28"/>
      <c r="D33" s="27"/>
      <c r="E33" s="29"/>
      <c r="F33" s="31"/>
      <c r="G33" s="31"/>
      <c r="H33" s="22"/>
    </row>
    <row r="34" spans="1:8" s="19" customFormat="1" ht="13.5">
      <c r="A34" s="30" t="s">
        <v>44</v>
      </c>
      <c r="B34" s="27">
        <v>2895504</v>
      </c>
      <c r="C34" s="25">
        <f>SDBIP!C14</f>
        <v>1447752</v>
      </c>
      <c r="D34" s="27">
        <v>811361</v>
      </c>
      <c r="E34" s="26">
        <f>C34/B34</f>
        <v>0.5</v>
      </c>
      <c r="F34" s="26">
        <f>D34/B34</f>
        <v>0.2802140836275826</v>
      </c>
      <c r="G34" s="26">
        <f>E34-F34</f>
        <v>0.2197859163724174</v>
      </c>
      <c r="H34" s="22" t="s">
        <v>15</v>
      </c>
    </row>
    <row r="35" spans="1:8" s="19" customFormat="1" ht="13.5" hidden="1">
      <c r="A35" s="22" t="s">
        <v>35</v>
      </c>
      <c r="B35" s="27">
        <v>999265</v>
      </c>
      <c r="C35" s="28">
        <v>249816.18</v>
      </c>
      <c r="D35" s="27"/>
      <c r="E35" s="29">
        <v>0.25</v>
      </c>
      <c r="F35" s="26">
        <v>0.2427</v>
      </c>
      <c r="G35" s="26">
        <v>0.0073</v>
      </c>
      <c r="H35" s="22"/>
    </row>
    <row r="36" spans="1:8" s="19" customFormat="1" ht="13.5" hidden="1">
      <c r="A36" s="22" t="s">
        <v>36</v>
      </c>
      <c r="B36" s="27">
        <v>203000</v>
      </c>
      <c r="C36" s="28">
        <v>50749.92</v>
      </c>
      <c r="D36" s="27"/>
      <c r="E36" s="29">
        <v>0.25</v>
      </c>
      <c r="F36" s="26">
        <v>0.1357</v>
      </c>
      <c r="G36" s="26">
        <v>0.1143</v>
      </c>
      <c r="H36" s="22"/>
    </row>
    <row r="37" spans="1:8" s="19" customFormat="1" ht="13.5" hidden="1">
      <c r="A37" s="22" t="s">
        <v>37</v>
      </c>
      <c r="B37" s="27">
        <v>1000</v>
      </c>
      <c r="C37" s="28">
        <v>249.99</v>
      </c>
      <c r="D37" s="27"/>
      <c r="E37" s="29">
        <v>0.25</v>
      </c>
      <c r="F37" s="31">
        <v>0</v>
      </c>
      <c r="G37" s="31">
        <v>0.25</v>
      </c>
      <c r="H37" s="22"/>
    </row>
    <row r="38" spans="1:8" s="19" customFormat="1" ht="13.5" hidden="1">
      <c r="A38" s="22" t="s">
        <v>38</v>
      </c>
      <c r="B38" s="27">
        <v>20000</v>
      </c>
      <c r="C38" s="28">
        <v>4999.98</v>
      </c>
      <c r="D38" s="27"/>
      <c r="E38" s="29">
        <v>0.25</v>
      </c>
      <c r="F38" s="31">
        <v>0</v>
      </c>
      <c r="G38" s="31">
        <v>0.25</v>
      </c>
      <c r="H38" s="22"/>
    </row>
    <row r="39" spans="1:8" s="19" customFormat="1" ht="13.5">
      <c r="A39" s="22"/>
      <c r="B39" s="27" t="s">
        <v>8</v>
      </c>
      <c r="C39" s="28"/>
      <c r="D39" s="27"/>
      <c r="E39" s="29"/>
      <c r="F39" s="31"/>
      <c r="G39" s="31"/>
      <c r="H39" s="22"/>
    </row>
    <row r="40" spans="1:8" s="19" customFormat="1" ht="13.5">
      <c r="A40" s="30" t="s">
        <v>45</v>
      </c>
      <c r="B40" s="28">
        <v>14680870</v>
      </c>
      <c r="C40" s="25">
        <f>SDBIP!C15</f>
        <v>7340435</v>
      </c>
      <c r="D40" s="27">
        <v>6373988</v>
      </c>
      <c r="E40" s="26">
        <f>C40/B40</f>
        <v>0.5</v>
      </c>
      <c r="F40" s="26">
        <f>D40/B40</f>
        <v>0.43416963708554057</v>
      </c>
      <c r="G40" s="26">
        <f>E40-F40</f>
        <v>0.06583036291445943</v>
      </c>
      <c r="H40" s="22"/>
    </row>
    <row r="41" spans="1:8" s="19" customFormat="1" ht="13.5" hidden="1">
      <c r="A41" s="22" t="s">
        <v>35</v>
      </c>
      <c r="B41" s="27">
        <v>1894725</v>
      </c>
      <c r="C41" s="28">
        <v>473681.1</v>
      </c>
      <c r="D41" s="27"/>
      <c r="E41" s="29">
        <v>0.25</v>
      </c>
      <c r="F41" s="26">
        <v>0.1384</v>
      </c>
      <c r="G41" s="26">
        <v>0.1116</v>
      </c>
      <c r="H41" s="22"/>
    </row>
    <row r="42" spans="1:8" s="19" customFormat="1" ht="13.5" hidden="1">
      <c r="A42" s="22" t="s">
        <v>46</v>
      </c>
      <c r="B42" s="27">
        <v>2071535</v>
      </c>
      <c r="C42" s="28">
        <v>517883.64</v>
      </c>
      <c r="D42" s="27"/>
      <c r="E42" s="29">
        <v>0.25</v>
      </c>
      <c r="F42" s="26">
        <v>0.2116</v>
      </c>
      <c r="G42" s="26">
        <v>0.0384</v>
      </c>
      <c r="H42" s="22"/>
    </row>
    <row r="43" spans="1:8" s="19" customFormat="1" ht="13.5" hidden="1">
      <c r="A43" s="22" t="s">
        <v>36</v>
      </c>
      <c r="B43" s="27">
        <v>1700000</v>
      </c>
      <c r="C43" s="28">
        <v>424999.77</v>
      </c>
      <c r="D43" s="27"/>
      <c r="E43" s="29">
        <v>0.25</v>
      </c>
      <c r="F43" s="26">
        <v>0.1285</v>
      </c>
      <c r="G43" s="26">
        <v>0.1215</v>
      </c>
      <c r="H43" s="22"/>
    </row>
    <row r="44" spans="1:8" s="19" customFormat="1" ht="13.5" hidden="1">
      <c r="A44" s="22" t="s">
        <v>37</v>
      </c>
      <c r="B44" s="27">
        <v>8000</v>
      </c>
      <c r="C44" s="28">
        <v>1999.98</v>
      </c>
      <c r="D44" s="27"/>
      <c r="E44" s="29">
        <v>0.25</v>
      </c>
      <c r="F44" s="26">
        <v>0.1592</v>
      </c>
      <c r="G44" s="26">
        <v>0.0908</v>
      </c>
      <c r="H44" s="22"/>
    </row>
    <row r="45" spans="1:8" s="19" customFormat="1" ht="13.5" hidden="1">
      <c r="A45" s="22" t="s">
        <v>38</v>
      </c>
      <c r="B45" s="27">
        <v>507000</v>
      </c>
      <c r="C45" s="28">
        <v>126749.97</v>
      </c>
      <c r="D45" s="27"/>
      <c r="E45" s="29">
        <v>0.25</v>
      </c>
      <c r="F45" s="31">
        <v>0</v>
      </c>
      <c r="G45" s="31">
        <v>0.25</v>
      </c>
      <c r="H45" s="22"/>
    </row>
    <row r="46" spans="1:8" s="19" customFormat="1" ht="13.5">
      <c r="A46" s="22"/>
      <c r="B46" s="27" t="s">
        <v>8</v>
      </c>
      <c r="C46" s="28"/>
      <c r="D46" s="27"/>
      <c r="E46" s="29"/>
      <c r="F46" s="31"/>
      <c r="G46" s="31"/>
      <c r="H46" s="22"/>
    </row>
    <row r="47" spans="1:9" s="19" customFormat="1" ht="13.5">
      <c r="A47" s="30" t="s">
        <v>47</v>
      </c>
      <c r="B47" s="27">
        <v>2579490</v>
      </c>
      <c r="C47" s="25">
        <f>SDBIP!C16</f>
        <v>1289745</v>
      </c>
      <c r="D47" s="27">
        <v>987982</v>
      </c>
      <c r="E47" s="26">
        <f>C47/B47</f>
        <v>0.5</v>
      </c>
      <c r="F47" s="26">
        <f>D47/B47</f>
        <v>0.38301447185296317</v>
      </c>
      <c r="G47" s="26">
        <f>E47-F47</f>
        <v>0.11698552814703683</v>
      </c>
      <c r="H47" s="22" t="s">
        <v>15</v>
      </c>
      <c r="I47" s="32"/>
    </row>
    <row r="48" spans="1:8" s="19" customFormat="1" ht="13.5" hidden="1">
      <c r="A48" s="22" t="s">
        <v>35</v>
      </c>
      <c r="B48" s="27">
        <v>1647725</v>
      </c>
      <c r="C48" s="28">
        <v>411931.14</v>
      </c>
      <c r="D48" s="28"/>
      <c r="E48" s="29">
        <v>0.25</v>
      </c>
      <c r="F48" s="26">
        <v>0.1951</v>
      </c>
      <c r="G48" s="26">
        <v>0.0549</v>
      </c>
      <c r="H48" s="171"/>
    </row>
    <row r="49" spans="1:8" s="19" customFormat="1" ht="13.5" hidden="1">
      <c r="A49" s="22" t="s">
        <v>36</v>
      </c>
      <c r="B49" s="27">
        <v>278000</v>
      </c>
      <c r="C49" s="28">
        <v>69499.92</v>
      </c>
      <c r="D49" s="28"/>
      <c r="E49" s="29">
        <v>0.25</v>
      </c>
      <c r="F49" s="26">
        <v>0.0766</v>
      </c>
      <c r="G49" s="26">
        <v>0.1734</v>
      </c>
      <c r="H49" s="171"/>
    </row>
    <row r="50" spans="1:8" s="19" customFormat="1" ht="13.5" hidden="1">
      <c r="A50" s="33" t="s">
        <v>37</v>
      </c>
      <c r="B50" s="28">
        <v>2000</v>
      </c>
      <c r="C50" s="28">
        <v>499.98</v>
      </c>
      <c r="D50" s="28"/>
      <c r="E50" s="29">
        <v>0.25</v>
      </c>
      <c r="F50" s="31">
        <v>0</v>
      </c>
      <c r="G50" s="31">
        <v>0.25</v>
      </c>
      <c r="H50" s="171"/>
    </row>
    <row r="51" spans="1:8" s="19" customFormat="1" ht="13.5" hidden="1">
      <c r="A51" s="33" t="s">
        <v>38</v>
      </c>
      <c r="B51" s="28">
        <v>20000</v>
      </c>
      <c r="C51" s="28">
        <v>4999.98</v>
      </c>
      <c r="D51" s="28"/>
      <c r="E51" s="29">
        <v>0.25</v>
      </c>
      <c r="F51" s="31">
        <v>0</v>
      </c>
      <c r="G51" s="31">
        <v>0.25</v>
      </c>
      <c r="H51" s="171"/>
    </row>
    <row r="52" spans="1:8" s="19" customFormat="1" ht="13.5">
      <c r="A52" s="33"/>
      <c r="B52" s="28" t="s">
        <v>8</v>
      </c>
      <c r="C52" s="28"/>
      <c r="D52" s="28"/>
      <c r="E52" s="29"/>
      <c r="F52" s="31"/>
      <c r="G52" s="31"/>
      <c r="H52" s="171"/>
    </row>
    <row r="53" spans="1:8" s="19" customFormat="1" ht="13.5">
      <c r="A53" s="34" t="s">
        <v>23</v>
      </c>
      <c r="B53" s="28">
        <v>25173300</v>
      </c>
      <c r="C53" s="25">
        <f>SDBIP!C17</f>
        <v>12586650</v>
      </c>
      <c r="D53" s="28">
        <v>6590561</v>
      </c>
      <c r="E53" s="26">
        <f>C53/B53</f>
        <v>0.5</v>
      </c>
      <c r="F53" s="26">
        <f>D53/B53</f>
        <v>0.2618075897875924</v>
      </c>
      <c r="G53" s="26">
        <f>E53-F53</f>
        <v>0.2381924102124076</v>
      </c>
      <c r="H53" s="22" t="s">
        <v>17</v>
      </c>
    </row>
    <row r="54" spans="1:8" s="19" customFormat="1" ht="13.5" hidden="1">
      <c r="A54" s="33" t="s">
        <v>48</v>
      </c>
      <c r="B54" s="28">
        <v>254000</v>
      </c>
      <c r="C54" s="28">
        <v>63500</v>
      </c>
      <c r="D54" s="28"/>
      <c r="E54" s="29">
        <v>0.25</v>
      </c>
      <c r="F54" s="31">
        <v>0</v>
      </c>
      <c r="G54" s="31">
        <v>0.25</v>
      </c>
      <c r="H54" s="171"/>
    </row>
    <row r="55" spans="1:8" s="19" customFormat="1" ht="13.5" hidden="1">
      <c r="A55" s="33" t="s">
        <v>49</v>
      </c>
      <c r="B55" s="28">
        <v>319000</v>
      </c>
      <c r="C55" s="28">
        <v>79750</v>
      </c>
      <c r="D55" s="28"/>
      <c r="E55" s="29">
        <v>0.25</v>
      </c>
      <c r="F55" s="26">
        <f>+D55/B55</f>
        <v>0</v>
      </c>
      <c r="G55" s="26">
        <f>+E55-F55</f>
        <v>0.25</v>
      </c>
      <c r="H55" s="171"/>
    </row>
    <row r="56" spans="1:8" s="19" customFormat="1" ht="13.5" hidden="1">
      <c r="A56" s="33" t="s">
        <v>50</v>
      </c>
      <c r="B56" s="28">
        <v>340000</v>
      </c>
      <c r="C56" s="28">
        <v>85000</v>
      </c>
      <c r="D56" s="28"/>
      <c r="E56" s="29">
        <v>0.25</v>
      </c>
      <c r="F56" s="26">
        <f>+D56/B56</f>
        <v>0</v>
      </c>
      <c r="G56" s="26">
        <f>+E56-F56</f>
        <v>0.25</v>
      </c>
      <c r="H56" s="171"/>
    </row>
    <row r="57" spans="1:8" s="19" customFormat="1" ht="13.5" hidden="1">
      <c r="A57" s="33" t="s">
        <v>51</v>
      </c>
      <c r="B57" s="28">
        <v>1606285</v>
      </c>
      <c r="C57" s="28">
        <v>401571</v>
      </c>
      <c r="D57" s="28"/>
      <c r="E57" s="29">
        <v>0.25</v>
      </c>
      <c r="F57" s="26">
        <f>+D57/B57</f>
        <v>0</v>
      </c>
      <c r="G57" s="26">
        <f>+E57-F57</f>
        <v>0.25</v>
      </c>
      <c r="H57" s="171"/>
    </row>
    <row r="58" spans="1:8" s="19" customFormat="1" ht="13.5" hidden="1">
      <c r="A58" s="33" t="s">
        <v>52</v>
      </c>
      <c r="B58" s="28">
        <v>222480</v>
      </c>
      <c r="C58" s="28">
        <v>55620</v>
      </c>
      <c r="D58" s="28"/>
      <c r="E58" s="29">
        <v>0.25</v>
      </c>
      <c r="F58" s="31">
        <v>0</v>
      </c>
      <c r="G58" s="31">
        <v>0.25</v>
      </c>
      <c r="H58" s="171"/>
    </row>
    <row r="59" spans="1:8" s="19" customFormat="1" ht="13.5" hidden="1">
      <c r="A59" s="33" t="s">
        <v>53</v>
      </c>
      <c r="B59" s="28">
        <v>110200</v>
      </c>
      <c r="C59" s="28">
        <v>27550</v>
      </c>
      <c r="D59" s="28"/>
      <c r="E59" s="29">
        <v>0.25</v>
      </c>
      <c r="F59" s="31">
        <v>0</v>
      </c>
      <c r="G59" s="31">
        <v>0.25</v>
      </c>
      <c r="H59" s="171"/>
    </row>
    <row r="60" spans="1:8" s="19" customFormat="1" ht="13.5">
      <c r="A60" s="33"/>
      <c r="B60" s="28" t="s">
        <v>8</v>
      </c>
      <c r="C60" s="28"/>
      <c r="D60" s="28"/>
      <c r="E60" s="29"/>
      <c r="F60" s="31"/>
      <c r="G60" s="31"/>
      <c r="H60" s="171"/>
    </row>
    <row r="61" spans="1:8" s="19" customFormat="1" ht="13.5">
      <c r="A61" s="34" t="s">
        <v>54</v>
      </c>
      <c r="B61" s="28">
        <v>15291912</v>
      </c>
      <c r="C61" s="25">
        <f>SDBIP!C18</f>
        <v>7645956</v>
      </c>
      <c r="D61" s="35">
        <v>7220619</v>
      </c>
      <c r="E61" s="26">
        <f>C61/B61</f>
        <v>0.5</v>
      </c>
      <c r="F61" s="26">
        <f>D61/B61</f>
        <v>0.4721854925662664</v>
      </c>
      <c r="G61" s="26">
        <f>E61-F61</f>
        <v>0.027814507433733593</v>
      </c>
      <c r="H61" s="170"/>
    </row>
    <row r="62" spans="1:8" s="19" customFormat="1" ht="13.5" hidden="1">
      <c r="A62" s="33"/>
      <c r="B62" s="28" t="s">
        <v>8</v>
      </c>
      <c r="C62" s="28"/>
      <c r="D62" s="28"/>
      <c r="E62" s="29"/>
      <c r="F62" s="31"/>
      <c r="G62" s="31"/>
      <c r="H62" s="171"/>
    </row>
    <row r="63" spans="1:8" s="19" customFormat="1" ht="13.5" hidden="1">
      <c r="A63" s="34"/>
      <c r="B63" s="28"/>
      <c r="C63" s="25"/>
      <c r="D63" s="28"/>
      <c r="E63" s="26"/>
      <c r="F63" s="26"/>
      <c r="G63" s="26"/>
      <c r="H63" s="170"/>
    </row>
    <row r="64" spans="1:8" s="19" customFormat="1" ht="13.5" hidden="1">
      <c r="A64" s="33" t="s">
        <v>35</v>
      </c>
      <c r="B64" s="28">
        <v>872685</v>
      </c>
      <c r="C64" s="28">
        <v>218171.19</v>
      </c>
      <c r="D64" s="28"/>
      <c r="E64" s="29">
        <v>0.25</v>
      </c>
      <c r="F64" s="26">
        <v>0.12</v>
      </c>
      <c r="G64" s="26">
        <v>0.13</v>
      </c>
      <c r="H64" s="171"/>
    </row>
    <row r="65" spans="1:8" s="19" customFormat="1" ht="13.5" hidden="1">
      <c r="A65" s="33" t="s">
        <v>36</v>
      </c>
      <c r="B65" s="28">
        <v>2027315</v>
      </c>
      <c r="C65" s="28">
        <v>506828.64</v>
      </c>
      <c r="D65" s="28"/>
      <c r="E65" s="29">
        <v>0.25</v>
      </c>
      <c r="F65" s="26">
        <v>0.0092</v>
      </c>
      <c r="G65" s="26">
        <v>0.2408</v>
      </c>
      <c r="H65" s="171"/>
    </row>
    <row r="66" spans="1:8" s="19" customFormat="1" ht="13.5" hidden="1">
      <c r="A66" s="33" t="s">
        <v>37</v>
      </c>
      <c r="B66" s="28">
        <v>30000</v>
      </c>
      <c r="C66" s="28">
        <v>7499.97</v>
      </c>
      <c r="D66" s="28"/>
      <c r="E66" s="29">
        <v>0.25</v>
      </c>
      <c r="F66" s="26">
        <v>0.0808</v>
      </c>
      <c r="G66" s="26">
        <v>0.1692</v>
      </c>
      <c r="H66" s="171"/>
    </row>
    <row r="67" spans="1:8" s="19" customFormat="1" ht="13.5" hidden="1">
      <c r="A67" s="33" t="s">
        <v>38</v>
      </c>
      <c r="B67" s="28">
        <v>220000</v>
      </c>
      <c r="C67" s="28">
        <v>54999.96</v>
      </c>
      <c r="D67" s="28"/>
      <c r="E67" s="29">
        <v>0.25</v>
      </c>
      <c r="F67" s="31">
        <v>0</v>
      </c>
      <c r="G67" s="31">
        <v>0.25</v>
      </c>
      <c r="H67" s="171"/>
    </row>
    <row r="68" spans="1:8" s="19" customFormat="1" ht="13.5">
      <c r="A68" s="33"/>
      <c r="B68" s="28"/>
      <c r="C68" s="28"/>
      <c r="D68" s="28"/>
      <c r="E68" s="29"/>
      <c r="F68" s="31"/>
      <c r="G68" s="31"/>
      <c r="H68" s="171"/>
    </row>
    <row r="69" spans="1:8" s="19" customFormat="1" ht="15">
      <c r="A69" s="34" t="s">
        <v>55</v>
      </c>
      <c r="B69" s="28">
        <v>3932166</v>
      </c>
      <c r="C69" s="25">
        <f>SDBIP!C19</f>
        <v>1966083</v>
      </c>
      <c r="D69" s="28">
        <v>1666829</v>
      </c>
      <c r="E69" s="26">
        <f>C69/B69</f>
        <v>0.5</v>
      </c>
      <c r="F69" s="26">
        <f>D69/B69</f>
        <v>0.42389588842383563</v>
      </c>
      <c r="G69" s="36">
        <f>E69-F69</f>
        <v>0.07610411157616437</v>
      </c>
      <c r="H69" s="5"/>
    </row>
    <row r="70" spans="1:8" s="19" customFormat="1" ht="13.5">
      <c r="A70" s="33"/>
      <c r="B70" s="28" t="s">
        <v>8</v>
      </c>
      <c r="C70" s="28" t="s">
        <v>125</v>
      </c>
      <c r="D70" s="28" t="s">
        <v>8</v>
      </c>
      <c r="E70" s="29"/>
      <c r="F70" s="31"/>
      <c r="G70" s="31"/>
      <c r="H70" s="171"/>
    </row>
    <row r="71" spans="1:8" s="19" customFormat="1" ht="13.5">
      <c r="A71" s="34" t="s">
        <v>163</v>
      </c>
      <c r="B71" s="37">
        <f>+B9+B16+B22+B28+B34+B40+B47+B53+B61+B69</f>
        <v>101667369</v>
      </c>
      <c r="C71" s="38">
        <f>+C9+C16+C22+C28+C34+C40+C47+C53+C61+C69</f>
        <v>50833685</v>
      </c>
      <c r="D71" s="38">
        <f>SUM(D9:D70)</f>
        <v>39297729</v>
      </c>
      <c r="E71" s="39">
        <f>C71/B71</f>
        <v>0.5000000049179988</v>
      </c>
      <c r="F71" s="39">
        <f>D71/B71</f>
        <v>0.3865323691026174</v>
      </c>
      <c r="G71" s="39">
        <f>E71-F71</f>
        <v>0.11346763581538138</v>
      </c>
      <c r="H71" s="170"/>
    </row>
    <row r="72" spans="1:8" s="19" customFormat="1" ht="13.5" hidden="1">
      <c r="A72" s="33" t="s">
        <v>35</v>
      </c>
      <c r="B72" s="28">
        <v>1295270</v>
      </c>
      <c r="C72" s="28">
        <v>323817.39</v>
      </c>
      <c r="D72" s="28">
        <v>312818.59</v>
      </c>
      <c r="E72" s="29">
        <v>0.25</v>
      </c>
      <c r="F72" s="26">
        <v>0.2415</v>
      </c>
      <c r="G72" s="26">
        <v>0.0085</v>
      </c>
      <c r="H72" s="22"/>
    </row>
    <row r="73" spans="1:8" s="19" customFormat="1" ht="13.5" hidden="1">
      <c r="A73" s="33" t="s">
        <v>36</v>
      </c>
      <c r="B73" s="28">
        <v>385400</v>
      </c>
      <c r="C73" s="28">
        <v>96349.83</v>
      </c>
      <c r="D73" s="28">
        <v>64853.83</v>
      </c>
      <c r="E73" s="29">
        <v>0.25</v>
      </c>
      <c r="F73" s="26">
        <v>0.1682</v>
      </c>
      <c r="G73" s="26">
        <v>0.0818</v>
      </c>
      <c r="H73" s="22"/>
    </row>
    <row r="74" spans="1:8" s="19" customFormat="1" ht="13.5" hidden="1">
      <c r="A74" s="33" t="s">
        <v>37</v>
      </c>
      <c r="B74" s="28">
        <v>106000</v>
      </c>
      <c r="C74" s="28">
        <v>26499.96</v>
      </c>
      <c r="D74" s="28">
        <v>14261.99</v>
      </c>
      <c r="E74" s="29">
        <v>0.25</v>
      </c>
      <c r="F74" s="26">
        <v>0.1345</v>
      </c>
      <c r="G74" s="26">
        <v>0.1155</v>
      </c>
      <c r="H74" s="22"/>
    </row>
    <row r="75" spans="1:8" s="19" customFormat="1" ht="13.5" hidden="1">
      <c r="A75" s="33" t="s">
        <v>38</v>
      </c>
      <c r="B75" s="28">
        <v>60000</v>
      </c>
      <c r="C75" s="28">
        <v>15000</v>
      </c>
      <c r="D75" s="28">
        <v>0</v>
      </c>
      <c r="E75" s="29">
        <v>0.25</v>
      </c>
      <c r="F75" s="31">
        <v>0</v>
      </c>
      <c r="G75" s="31">
        <v>0.25</v>
      </c>
      <c r="H75" s="22"/>
    </row>
    <row r="76" spans="1:8" s="19" customFormat="1" ht="13.5">
      <c r="A76" s="33"/>
      <c r="B76" s="27" t="s">
        <v>8</v>
      </c>
      <c r="C76" s="28"/>
      <c r="D76" s="27"/>
      <c r="E76" s="29"/>
      <c r="F76" s="26"/>
      <c r="G76" s="26"/>
      <c r="H76" s="22"/>
    </row>
    <row r="77" spans="1:8" s="40" customFormat="1" ht="13.5">
      <c r="A77" s="34"/>
      <c r="B77" s="37"/>
      <c r="C77" s="38"/>
      <c r="D77" s="38"/>
      <c r="E77" s="39"/>
      <c r="F77" s="39"/>
      <c r="G77" s="39"/>
      <c r="H77" s="30"/>
    </row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pane xSplit="2" ySplit="9" topLeftCell="CC10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B22" sqref="B22"/>
    </sheetView>
  </sheetViews>
  <sheetFormatPr defaultColWidth="9.140625" defaultRowHeight="12.75"/>
  <cols>
    <col min="1" max="1" width="10.140625" style="233" hidden="1" customWidth="1"/>
    <col min="2" max="2" width="40.140625" style="232" customWidth="1"/>
    <col min="3" max="3" width="13.8515625" style="229" hidden="1" customWidth="1"/>
    <col min="4" max="5" width="14.28125" style="229" hidden="1" customWidth="1"/>
    <col min="6" max="6" width="14.57421875" style="229" hidden="1" customWidth="1"/>
    <col min="7" max="8" width="13.8515625" style="229" hidden="1" customWidth="1"/>
    <col min="9" max="9" width="15.00390625" style="229" hidden="1" customWidth="1"/>
    <col min="10" max="11" width="14.28125" style="229" hidden="1" customWidth="1"/>
    <col min="12" max="12" width="13.8515625" style="229" hidden="1" customWidth="1"/>
    <col min="13" max="15" width="14.57421875" style="229" hidden="1" customWidth="1"/>
    <col min="16" max="16" width="15.00390625" style="229" hidden="1" customWidth="1"/>
    <col min="17" max="17" width="14.28125" style="229" hidden="1" customWidth="1"/>
    <col min="18" max="18" width="13.8515625" style="230" hidden="1" customWidth="1"/>
    <col min="19" max="19" width="15.00390625" style="230" hidden="1" customWidth="1"/>
    <col min="20" max="20" width="14.57421875" style="229" hidden="1" customWidth="1"/>
    <col min="21" max="21" width="13.8515625" style="229" hidden="1" customWidth="1"/>
    <col min="22" max="22" width="14.8515625" style="229" hidden="1" customWidth="1"/>
    <col min="23" max="23" width="14.28125" style="229" hidden="1" customWidth="1"/>
    <col min="24" max="24" width="13.8515625" style="229" hidden="1" customWidth="1"/>
    <col min="25" max="25" width="15.00390625" style="229" hidden="1" customWidth="1"/>
    <col min="26" max="26" width="14.57421875" style="229" hidden="1" customWidth="1"/>
    <col min="27" max="27" width="15.28125" style="229" hidden="1" customWidth="1"/>
    <col min="28" max="28" width="15.00390625" style="229" hidden="1" customWidth="1"/>
    <col min="29" max="29" width="9.7109375" style="229" hidden="1" customWidth="1"/>
    <col min="30" max="31" width="13.8515625" style="229" hidden="1" customWidth="1"/>
    <col min="32" max="33" width="14.57421875" style="229" hidden="1" customWidth="1"/>
    <col min="34" max="35" width="15.00390625" style="229" hidden="1" customWidth="1"/>
    <col min="36" max="37" width="13.8515625" style="229" hidden="1" customWidth="1"/>
    <col min="38" max="39" width="14.57421875" style="229" hidden="1" customWidth="1"/>
    <col min="40" max="41" width="15.00390625" style="229" hidden="1" customWidth="1"/>
    <col min="42" max="43" width="13.8515625" style="229" hidden="1" customWidth="1"/>
    <col min="44" max="45" width="14.57421875" style="229" hidden="1" customWidth="1"/>
    <col min="46" max="47" width="15.00390625" style="229" hidden="1" customWidth="1"/>
    <col min="48" max="49" width="13.8515625" style="229" hidden="1" customWidth="1"/>
    <col min="50" max="50" width="15.28125" style="229" hidden="1" customWidth="1"/>
    <col min="51" max="51" width="14.57421875" style="229" hidden="1" customWidth="1"/>
    <col min="52" max="53" width="15.00390625" style="229" hidden="1" customWidth="1"/>
    <col min="54" max="55" width="13.8515625" style="229" hidden="1" customWidth="1"/>
    <col min="56" max="56" width="16.28125" style="229" hidden="1" customWidth="1"/>
    <col min="57" max="57" width="14.57421875" style="229" hidden="1" customWidth="1"/>
    <col min="58" max="59" width="15.00390625" style="229" hidden="1" customWidth="1"/>
    <col min="60" max="61" width="13.8515625" style="229" hidden="1" customWidth="1"/>
    <col min="62" max="62" width="15.7109375" style="229" hidden="1" customWidth="1"/>
    <col min="63" max="63" width="14.57421875" style="229" hidden="1" customWidth="1"/>
    <col min="64" max="64" width="16.140625" style="229" hidden="1" customWidth="1"/>
    <col min="65" max="65" width="15.00390625" style="229" hidden="1" customWidth="1"/>
    <col min="66" max="67" width="13.8515625" style="229" hidden="1" customWidth="1"/>
    <col min="68" max="68" width="15.8515625" style="229" hidden="1" customWidth="1"/>
    <col min="69" max="69" width="14.57421875" style="229" hidden="1" customWidth="1"/>
    <col min="70" max="70" width="16.00390625" style="229" hidden="1" customWidth="1"/>
    <col min="71" max="71" width="15.00390625" style="229" hidden="1" customWidth="1"/>
    <col min="72" max="72" width="14.421875" style="229" hidden="1" customWidth="1"/>
    <col min="73" max="73" width="13.8515625" style="229" hidden="1" customWidth="1"/>
    <col min="74" max="74" width="16.421875" style="229" hidden="1" customWidth="1"/>
    <col min="75" max="75" width="14.57421875" style="229" hidden="1" customWidth="1"/>
    <col min="76" max="77" width="15.00390625" style="229" hidden="1" customWidth="1"/>
    <col min="78" max="78" width="16.00390625" style="231" hidden="1" customWidth="1"/>
    <col min="79" max="79" width="12.57421875" style="229" hidden="1" customWidth="1"/>
    <col min="80" max="80" width="15.140625" style="230" hidden="1" customWidth="1"/>
    <col min="81" max="81" width="10.140625" style="229" bestFit="1" customWidth="1"/>
    <col min="82" max="82" width="10.7109375" style="229" customWidth="1"/>
    <col min="83" max="83" width="10.28125" style="229" bestFit="1" customWidth="1"/>
    <col min="84" max="84" width="8.7109375" style="229" bestFit="1" customWidth="1"/>
    <col min="85" max="85" width="9.7109375" style="229" bestFit="1" customWidth="1"/>
    <col min="86" max="16384" width="9.140625" style="229" customWidth="1"/>
  </cols>
  <sheetData>
    <row r="1" spans="1:9" ht="17.25">
      <c r="A1" s="47"/>
      <c r="B1" s="41"/>
      <c r="C1" s="41"/>
      <c r="D1" s="41"/>
      <c r="E1" s="41"/>
      <c r="F1" s="41"/>
      <c r="G1" s="41"/>
      <c r="H1" s="41"/>
      <c r="I1" s="41"/>
    </row>
    <row r="2" spans="1:9" ht="15">
      <c r="A2" s="48" t="s">
        <v>126</v>
      </c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46"/>
      <c r="C3" s="48"/>
      <c r="D3" s="48"/>
      <c r="E3" s="48"/>
      <c r="F3" s="48"/>
      <c r="G3" s="48"/>
      <c r="H3" s="48"/>
      <c r="I3" s="48"/>
    </row>
    <row r="4" spans="1:9" ht="13.5" thickBot="1">
      <c r="A4" s="388"/>
      <c r="B4" s="388"/>
      <c r="C4" s="388"/>
      <c r="D4" s="388"/>
      <c r="E4" s="388"/>
      <c r="F4" s="388"/>
      <c r="G4" s="388"/>
      <c r="H4" s="388"/>
      <c r="I4" s="388"/>
    </row>
    <row r="5" spans="1:80" ht="14.25" thickBot="1" thickTop="1">
      <c r="A5" s="284"/>
      <c r="B5" s="283"/>
      <c r="C5" s="282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80"/>
      <c r="CA5" s="279"/>
      <c r="CB5" s="279"/>
    </row>
    <row r="6" spans="1:80" s="236" customFormat="1" ht="14.25" thickBot="1" thickTop="1">
      <c r="A6" s="278"/>
      <c r="B6" s="240"/>
      <c r="C6" s="392"/>
      <c r="D6" s="393"/>
      <c r="E6" s="393"/>
      <c r="F6" s="393"/>
      <c r="G6" s="393"/>
      <c r="H6" s="393"/>
      <c r="I6" s="393"/>
      <c r="J6" s="394"/>
      <c r="K6" s="286"/>
      <c r="L6" s="395" t="s">
        <v>66</v>
      </c>
      <c r="M6" s="395"/>
      <c r="N6" s="395"/>
      <c r="O6" s="395"/>
      <c r="P6" s="395"/>
      <c r="Q6" s="395"/>
      <c r="R6" s="395" t="s">
        <v>67</v>
      </c>
      <c r="S6" s="395"/>
      <c r="T6" s="395"/>
      <c r="U6" s="395"/>
      <c r="V6" s="395"/>
      <c r="W6" s="395"/>
      <c r="X6" s="389" t="s">
        <v>68</v>
      </c>
      <c r="Y6" s="390"/>
      <c r="Z6" s="390"/>
      <c r="AA6" s="390"/>
      <c r="AB6" s="390"/>
      <c r="AC6" s="391"/>
      <c r="AD6" s="389" t="s">
        <v>69</v>
      </c>
      <c r="AE6" s="390"/>
      <c r="AF6" s="390"/>
      <c r="AG6" s="390"/>
      <c r="AH6" s="390"/>
      <c r="AI6" s="391"/>
      <c r="AJ6" s="389" t="s">
        <v>70</v>
      </c>
      <c r="AK6" s="390"/>
      <c r="AL6" s="390"/>
      <c r="AM6" s="390"/>
      <c r="AN6" s="390"/>
      <c r="AO6" s="391"/>
      <c r="AP6" s="389" t="s">
        <v>71</v>
      </c>
      <c r="AQ6" s="390"/>
      <c r="AR6" s="390"/>
      <c r="AS6" s="390"/>
      <c r="AT6" s="390"/>
      <c r="AU6" s="391"/>
      <c r="AV6" s="389" t="s">
        <v>72</v>
      </c>
      <c r="AW6" s="390"/>
      <c r="AX6" s="390"/>
      <c r="AY6" s="390"/>
      <c r="AZ6" s="390"/>
      <c r="BA6" s="391"/>
      <c r="BB6" s="389" t="s">
        <v>73</v>
      </c>
      <c r="BC6" s="390"/>
      <c r="BD6" s="390"/>
      <c r="BE6" s="390"/>
      <c r="BF6" s="390"/>
      <c r="BG6" s="391"/>
      <c r="BH6" s="389" t="s">
        <v>74</v>
      </c>
      <c r="BI6" s="390"/>
      <c r="BJ6" s="390"/>
      <c r="BK6" s="390"/>
      <c r="BL6" s="390"/>
      <c r="BM6" s="391"/>
      <c r="BN6" s="389" t="s">
        <v>75</v>
      </c>
      <c r="BO6" s="390"/>
      <c r="BP6" s="390"/>
      <c r="BQ6" s="390"/>
      <c r="BR6" s="390"/>
      <c r="BS6" s="391"/>
      <c r="BT6" s="389" t="s">
        <v>76</v>
      </c>
      <c r="BU6" s="390"/>
      <c r="BV6" s="390"/>
      <c r="BW6" s="390"/>
      <c r="BX6" s="390"/>
      <c r="BY6" s="391"/>
      <c r="BZ6" s="389" t="s">
        <v>77</v>
      </c>
      <c r="CA6" s="390"/>
      <c r="CB6" s="391"/>
    </row>
    <row r="7" spans="1:80" s="236" customFormat="1" ht="14.25" thickBot="1" thickTop="1">
      <c r="A7" s="241"/>
      <c r="B7" s="240"/>
      <c r="C7" s="389"/>
      <c r="D7" s="390"/>
      <c r="E7" s="390"/>
      <c r="F7" s="390"/>
      <c r="G7" s="390"/>
      <c r="H7" s="390"/>
      <c r="I7" s="390"/>
      <c r="J7" s="391"/>
      <c r="K7" s="285"/>
      <c r="L7" s="395">
        <v>2009</v>
      </c>
      <c r="M7" s="395"/>
      <c r="N7" s="395"/>
      <c r="O7" s="395"/>
      <c r="P7" s="395"/>
      <c r="Q7" s="395"/>
      <c r="R7" s="395">
        <v>2009</v>
      </c>
      <c r="S7" s="395"/>
      <c r="T7" s="395"/>
      <c r="U7" s="395"/>
      <c r="V7" s="395"/>
      <c r="W7" s="395"/>
      <c r="X7" s="395">
        <v>2009</v>
      </c>
      <c r="Y7" s="395"/>
      <c r="Z7" s="395"/>
      <c r="AA7" s="395"/>
      <c r="AB7" s="395"/>
      <c r="AC7" s="395"/>
      <c r="AD7" s="395">
        <v>2009</v>
      </c>
      <c r="AE7" s="395"/>
      <c r="AF7" s="395"/>
      <c r="AG7" s="395"/>
      <c r="AH7" s="395"/>
      <c r="AI7" s="395"/>
      <c r="AJ7" s="395">
        <v>2009</v>
      </c>
      <c r="AK7" s="395"/>
      <c r="AL7" s="395"/>
      <c r="AM7" s="395"/>
      <c r="AN7" s="395"/>
      <c r="AO7" s="395"/>
      <c r="AP7" s="389">
        <v>2010</v>
      </c>
      <c r="AQ7" s="390"/>
      <c r="AR7" s="390"/>
      <c r="AS7" s="390"/>
      <c r="AT7" s="390"/>
      <c r="AU7" s="391"/>
      <c r="AV7" s="389">
        <v>2010</v>
      </c>
      <c r="AW7" s="390"/>
      <c r="AX7" s="390"/>
      <c r="AY7" s="390"/>
      <c r="AZ7" s="390"/>
      <c r="BA7" s="391"/>
      <c r="BB7" s="389">
        <v>2010</v>
      </c>
      <c r="BC7" s="390"/>
      <c r="BD7" s="390"/>
      <c r="BE7" s="390"/>
      <c r="BF7" s="390"/>
      <c r="BG7" s="391"/>
      <c r="BH7" s="389">
        <v>2010</v>
      </c>
      <c r="BI7" s="390"/>
      <c r="BJ7" s="390"/>
      <c r="BK7" s="390"/>
      <c r="BL7" s="390"/>
      <c r="BM7" s="391"/>
      <c r="BN7" s="389">
        <v>2010</v>
      </c>
      <c r="BO7" s="390"/>
      <c r="BP7" s="390"/>
      <c r="BQ7" s="390"/>
      <c r="BR7" s="390"/>
      <c r="BS7" s="391"/>
      <c r="BT7" s="389">
        <v>2010</v>
      </c>
      <c r="BU7" s="390"/>
      <c r="BV7" s="390"/>
      <c r="BW7" s="390"/>
      <c r="BX7" s="390"/>
      <c r="BY7" s="391"/>
      <c r="BZ7" s="258"/>
      <c r="CA7" s="257" t="s">
        <v>133</v>
      </c>
      <c r="CB7" s="257"/>
    </row>
    <row r="8" spans="1:80" s="236" customFormat="1" ht="14.25" customHeight="1" thickBot="1" thickTop="1">
      <c r="A8" s="241"/>
      <c r="B8" s="240"/>
      <c r="C8" s="255"/>
      <c r="D8" s="255"/>
      <c r="E8" s="255"/>
      <c r="F8" s="255"/>
      <c r="G8" s="255"/>
      <c r="H8" s="255"/>
      <c r="I8" s="255"/>
      <c r="J8" s="255"/>
      <c r="K8" s="255" t="s">
        <v>84</v>
      </c>
      <c r="L8" s="255" t="s">
        <v>79</v>
      </c>
      <c r="M8" s="255" t="s">
        <v>80</v>
      </c>
      <c r="N8" s="255" t="s">
        <v>81</v>
      </c>
      <c r="O8" s="255" t="s">
        <v>82</v>
      </c>
      <c r="P8" s="255" t="s">
        <v>83</v>
      </c>
      <c r="Q8" s="255" t="s">
        <v>84</v>
      </c>
      <c r="R8" s="255" t="s">
        <v>79</v>
      </c>
      <c r="S8" s="255" t="s">
        <v>80</v>
      </c>
      <c r="T8" s="255" t="s">
        <v>81</v>
      </c>
      <c r="U8" s="255" t="s">
        <v>82</v>
      </c>
      <c r="V8" s="255" t="s">
        <v>83</v>
      </c>
      <c r="W8" s="255" t="s">
        <v>84</v>
      </c>
      <c r="X8" s="255" t="s">
        <v>79</v>
      </c>
      <c r="Y8" s="255" t="s">
        <v>80</v>
      </c>
      <c r="Z8" s="255" t="s">
        <v>81</v>
      </c>
      <c r="AA8" s="255" t="s">
        <v>82</v>
      </c>
      <c r="AB8" s="255" t="s">
        <v>83</v>
      </c>
      <c r="AC8" s="255" t="s">
        <v>84</v>
      </c>
      <c r="AD8" s="255" t="s">
        <v>79</v>
      </c>
      <c r="AE8" s="255" t="s">
        <v>80</v>
      </c>
      <c r="AF8" s="255" t="s">
        <v>81</v>
      </c>
      <c r="AG8" s="255" t="s">
        <v>82</v>
      </c>
      <c r="AH8" s="255" t="s">
        <v>83</v>
      </c>
      <c r="AI8" s="255" t="s">
        <v>84</v>
      </c>
      <c r="AJ8" s="255" t="s">
        <v>79</v>
      </c>
      <c r="AK8" s="255" t="s">
        <v>80</v>
      </c>
      <c r="AL8" s="255" t="s">
        <v>81</v>
      </c>
      <c r="AM8" s="255" t="s">
        <v>82</v>
      </c>
      <c r="AN8" s="255" t="s">
        <v>83</v>
      </c>
      <c r="AO8" s="255" t="s">
        <v>84</v>
      </c>
      <c r="AP8" s="255" t="s">
        <v>79</v>
      </c>
      <c r="AQ8" s="255" t="s">
        <v>80</v>
      </c>
      <c r="AR8" s="255" t="s">
        <v>81</v>
      </c>
      <c r="AS8" s="255" t="s">
        <v>82</v>
      </c>
      <c r="AT8" s="255" t="s">
        <v>83</v>
      </c>
      <c r="AU8" s="255" t="s">
        <v>84</v>
      </c>
      <c r="AV8" s="255" t="s">
        <v>79</v>
      </c>
      <c r="AW8" s="255" t="s">
        <v>80</v>
      </c>
      <c r="AX8" s="255" t="s">
        <v>81</v>
      </c>
      <c r="AY8" s="255" t="s">
        <v>82</v>
      </c>
      <c r="AZ8" s="255" t="s">
        <v>83</v>
      </c>
      <c r="BA8" s="255" t="s">
        <v>84</v>
      </c>
      <c r="BB8" s="255" t="s">
        <v>79</v>
      </c>
      <c r="BC8" s="255" t="s">
        <v>80</v>
      </c>
      <c r="BD8" s="255" t="s">
        <v>81</v>
      </c>
      <c r="BE8" s="255" t="s">
        <v>82</v>
      </c>
      <c r="BF8" s="255" t="s">
        <v>83</v>
      </c>
      <c r="BG8" s="255" t="s">
        <v>84</v>
      </c>
      <c r="BH8" s="255" t="s">
        <v>79</v>
      </c>
      <c r="BI8" s="255" t="s">
        <v>80</v>
      </c>
      <c r="BJ8" s="255" t="s">
        <v>81</v>
      </c>
      <c r="BK8" s="255" t="s">
        <v>82</v>
      </c>
      <c r="BL8" s="255" t="s">
        <v>83</v>
      </c>
      <c r="BM8" s="255" t="s">
        <v>84</v>
      </c>
      <c r="BN8" s="255" t="s">
        <v>79</v>
      </c>
      <c r="BO8" s="255" t="s">
        <v>80</v>
      </c>
      <c r="BP8" s="255" t="s">
        <v>81</v>
      </c>
      <c r="BQ8" s="255" t="s">
        <v>82</v>
      </c>
      <c r="BR8" s="255" t="s">
        <v>83</v>
      </c>
      <c r="BS8" s="255" t="s">
        <v>84</v>
      </c>
      <c r="BT8" s="255" t="s">
        <v>79</v>
      </c>
      <c r="BU8" s="255" t="s">
        <v>80</v>
      </c>
      <c r="BV8" s="255" t="s">
        <v>81</v>
      </c>
      <c r="BW8" s="255" t="s">
        <v>82</v>
      </c>
      <c r="BX8" s="255" t="s">
        <v>83</v>
      </c>
      <c r="BY8" s="255" t="s">
        <v>84</v>
      </c>
      <c r="BZ8" s="256" t="s">
        <v>85</v>
      </c>
      <c r="CA8" s="255" t="s">
        <v>86</v>
      </c>
      <c r="CB8" s="255" t="s">
        <v>87</v>
      </c>
    </row>
    <row r="9" spans="1:80" s="236" customFormat="1" ht="14.25" thickBot="1" thickTop="1">
      <c r="A9" s="241"/>
      <c r="B9" s="240"/>
      <c r="C9" s="255"/>
      <c r="D9" s="255"/>
      <c r="E9" s="255"/>
      <c r="F9" s="255"/>
      <c r="G9" s="255"/>
      <c r="H9" s="255"/>
      <c r="I9" s="255"/>
      <c r="J9" s="255"/>
      <c r="K9" s="255" t="s">
        <v>90</v>
      </c>
      <c r="L9" s="255" t="s">
        <v>90</v>
      </c>
      <c r="M9" s="255" t="s">
        <v>90</v>
      </c>
      <c r="N9" s="255" t="s">
        <v>90</v>
      </c>
      <c r="O9" s="255" t="s">
        <v>90</v>
      </c>
      <c r="P9" s="255" t="s">
        <v>90</v>
      </c>
      <c r="Q9" s="255" t="s">
        <v>90</v>
      </c>
      <c r="R9" s="255" t="s">
        <v>90</v>
      </c>
      <c r="S9" s="255" t="s">
        <v>90</v>
      </c>
      <c r="T9" s="255" t="s">
        <v>90</v>
      </c>
      <c r="U9" s="255" t="s">
        <v>90</v>
      </c>
      <c r="V9" s="255" t="s">
        <v>90</v>
      </c>
      <c r="W9" s="255" t="s">
        <v>90</v>
      </c>
      <c r="X9" s="255" t="s">
        <v>90</v>
      </c>
      <c r="Y9" s="255" t="s">
        <v>90</v>
      </c>
      <c r="Z9" s="255" t="s">
        <v>90</v>
      </c>
      <c r="AA9" s="255" t="s">
        <v>90</v>
      </c>
      <c r="AB9" s="255" t="s">
        <v>90</v>
      </c>
      <c r="AC9" s="255" t="s">
        <v>90</v>
      </c>
      <c r="AD9" s="255" t="s">
        <v>90</v>
      </c>
      <c r="AE9" s="255" t="s">
        <v>90</v>
      </c>
      <c r="AF9" s="255" t="s">
        <v>90</v>
      </c>
      <c r="AG9" s="255" t="s">
        <v>90</v>
      </c>
      <c r="AH9" s="255" t="s">
        <v>90</v>
      </c>
      <c r="AI9" s="255" t="s">
        <v>90</v>
      </c>
      <c r="AJ9" s="255" t="s">
        <v>90</v>
      </c>
      <c r="AK9" s="255" t="s">
        <v>90</v>
      </c>
      <c r="AL9" s="255" t="s">
        <v>90</v>
      </c>
      <c r="AM9" s="255" t="s">
        <v>90</v>
      </c>
      <c r="AN9" s="255" t="s">
        <v>90</v>
      </c>
      <c r="AO9" s="255" t="s">
        <v>90</v>
      </c>
      <c r="AP9" s="255" t="s">
        <v>90</v>
      </c>
      <c r="AQ9" s="255" t="s">
        <v>90</v>
      </c>
      <c r="AR9" s="255" t="s">
        <v>90</v>
      </c>
      <c r="AS9" s="255" t="s">
        <v>90</v>
      </c>
      <c r="AT9" s="255" t="s">
        <v>90</v>
      </c>
      <c r="AU9" s="255" t="s">
        <v>90</v>
      </c>
      <c r="AV9" s="255" t="s">
        <v>90</v>
      </c>
      <c r="AW9" s="255" t="s">
        <v>90</v>
      </c>
      <c r="AX9" s="255" t="s">
        <v>90</v>
      </c>
      <c r="AY9" s="255" t="s">
        <v>90</v>
      </c>
      <c r="AZ9" s="255" t="s">
        <v>90</v>
      </c>
      <c r="BA9" s="255" t="s">
        <v>90</v>
      </c>
      <c r="BB9" s="255" t="s">
        <v>90</v>
      </c>
      <c r="BC9" s="255" t="s">
        <v>90</v>
      </c>
      <c r="BD9" s="255" t="s">
        <v>90</v>
      </c>
      <c r="BE9" s="255" t="s">
        <v>90</v>
      </c>
      <c r="BF9" s="255" t="s">
        <v>90</v>
      </c>
      <c r="BG9" s="255" t="s">
        <v>90</v>
      </c>
      <c r="BH9" s="255" t="s">
        <v>90</v>
      </c>
      <c r="BI9" s="255" t="s">
        <v>90</v>
      </c>
      <c r="BJ9" s="255" t="s">
        <v>90</v>
      </c>
      <c r="BK9" s="255" t="s">
        <v>90</v>
      </c>
      <c r="BL9" s="255" t="s">
        <v>90</v>
      </c>
      <c r="BM9" s="255" t="s">
        <v>90</v>
      </c>
      <c r="BN9" s="255" t="s">
        <v>90</v>
      </c>
      <c r="BO9" s="255" t="s">
        <v>90</v>
      </c>
      <c r="BP9" s="255" t="s">
        <v>90</v>
      </c>
      <c r="BQ9" s="255" t="s">
        <v>90</v>
      </c>
      <c r="BR9" s="255" t="s">
        <v>90</v>
      </c>
      <c r="BS9" s="255" t="s">
        <v>90</v>
      </c>
      <c r="BT9" s="255" t="s">
        <v>90</v>
      </c>
      <c r="BU9" s="255" t="s">
        <v>90</v>
      </c>
      <c r="BV9" s="255" t="s">
        <v>90</v>
      </c>
      <c r="BW9" s="255" t="s">
        <v>90</v>
      </c>
      <c r="BX9" s="255" t="s">
        <v>90</v>
      </c>
      <c r="BY9" s="255" t="s">
        <v>90</v>
      </c>
      <c r="BZ9" s="256" t="s">
        <v>90</v>
      </c>
      <c r="CA9" s="255" t="s">
        <v>91</v>
      </c>
      <c r="CB9" s="255" t="s">
        <v>91</v>
      </c>
    </row>
    <row r="10" spans="1:80" ht="14.25" thickBot="1" thickTop="1">
      <c r="A10" s="245"/>
      <c r="B10" s="259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48"/>
      <c r="CA10" s="277"/>
      <c r="CB10" s="276"/>
    </row>
    <row r="11" spans="1:80" ht="14.25" thickBot="1" thickTop="1">
      <c r="A11" s="245"/>
      <c r="B11" s="244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48"/>
      <c r="BU11" s="266"/>
      <c r="BV11" s="266"/>
      <c r="BW11" s="266"/>
      <c r="BX11" s="266"/>
      <c r="BY11" s="266"/>
      <c r="BZ11" s="266"/>
      <c r="CA11" s="275"/>
      <c r="CB11" s="266"/>
    </row>
    <row r="12" spans="1:80" s="252" customFormat="1" ht="15" thickBot="1" thickTop="1">
      <c r="A12" s="245"/>
      <c r="B12" s="244"/>
      <c r="C12" s="243"/>
      <c r="D12" s="251"/>
      <c r="E12" s="243"/>
      <c r="F12" s="243"/>
      <c r="G12" s="243"/>
      <c r="H12" s="243"/>
      <c r="I12" s="243"/>
      <c r="J12" s="243"/>
      <c r="K12" s="243">
        <v>33539491</v>
      </c>
      <c r="L12" s="243">
        <f>(8357268-99000-44402)/12*2</f>
        <v>1368977.6666666667</v>
      </c>
      <c r="M12" s="243"/>
      <c r="N12" s="243">
        <v>0</v>
      </c>
      <c r="O12" s="243"/>
      <c r="P12" s="243">
        <f>P29+P31+P32+P34+P35-300000</f>
        <v>35557721.666666664</v>
      </c>
      <c r="Q12" s="243"/>
      <c r="R12" s="243">
        <f>((8357268-99000-44402)/12*3)+99000</f>
        <v>2152466.5</v>
      </c>
      <c r="S12" s="243"/>
      <c r="T12" s="243">
        <v>0</v>
      </c>
      <c r="U12" s="243"/>
      <c r="V12" s="243">
        <f>V29+V31+V32+V34+V35-300000</f>
        <v>36461930</v>
      </c>
      <c r="W12" s="243"/>
      <c r="X12" s="243">
        <f>((8357268-99000-44402)/12*4)+99000</f>
        <v>2836955.3333333335</v>
      </c>
      <c r="Y12" s="243"/>
      <c r="Z12" s="243">
        <v>0</v>
      </c>
      <c r="AA12" s="243"/>
      <c r="AB12" s="243">
        <f>AB29+AB31+AB32+AB34+AB35-300000</f>
        <v>37266138.333333336</v>
      </c>
      <c r="AC12" s="243"/>
      <c r="AD12" s="243">
        <f>((8357268-99000-44402)/12*5)+99000</f>
        <v>3521444.166666667</v>
      </c>
      <c r="AE12" s="243"/>
      <c r="AF12" s="243">
        <v>0</v>
      </c>
      <c r="AG12" s="243"/>
      <c r="AH12" s="243">
        <f>AH29+AH31+AH32+AH34+AH35-300000</f>
        <v>64469790.666666664</v>
      </c>
      <c r="AI12" s="243"/>
      <c r="AJ12" s="243">
        <f>((8357268-99000-44402)/12*6)+99000</f>
        <v>4205933</v>
      </c>
      <c r="AK12" s="243"/>
      <c r="AL12" s="243">
        <v>200000</v>
      </c>
      <c r="AM12" s="243"/>
      <c r="AN12" s="243">
        <f>AN29+AN31+AN32+AN34+AN35-300000</f>
        <v>65373999</v>
      </c>
      <c r="AO12" s="243"/>
      <c r="AP12" s="243">
        <f>((8357268-99000-44402)/12*7)+99000</f>
        <v>4890421.833333334</v>
      </c>
      <c r="AQ12" s="243"/>
      <c r="AR12" s="243">
        <v>400000</v>
      </c>
      <c r="AS12" s="243"/>
      <c r="AT12" s="243">
        <f>AT29+AT31+AT32+AT34+AT35-300000</f>
        <v>66178207.333333336</v>
      </c>
      <c r="AU12" s="243"/>
      <c r="AV12" s="243">
        <f>((8357268-99000-44402)/12*8)+99000</f>
        <v>5574910.666666667</v>
      </c>
      <c r="AW12" s="243"/>
      <c r="AX12" s="243">
        <v>400000</v>
      </c>
      <c r="AY12" s="243"/>
      <c r="AZ12" s="243">
        <f>AZ29+AZ31+AZ32+AZ34+AZ35-300000</f>
        <v>67082415.66666666</v>
      </c>
      <c r="BA12" s="243"/>
      <c r="BB12" s="243">
        <f>((8357268-99000-44402)/12*9)+99000</f>
        <v>6259399.5</v>
      </c>
      <c r="BC12" s="243"/>
      <c r="BD12" s="243">
        <v>400000</v>
      </c>
      <c r="BE12" s="243"/>
      <c r="BF12" s="243">
        <f>BF29+BF31+BF32+BF34+BF35-300000</f>
        <v>87536207</v>
      </c>
      <c r="BG12" s="243"/>
      <c r="BH12" s="243">
        <f>((8357268-99000-44402)/12*10)+99000</f>
        <v>6943888.333333334</v>
      </c>
      <c r="BI12" s="243"/>
      <c r="BJ12" s="243">
        <v>400000</v>
      </c>
      <c r="BK12" s="243"/>
      <c r="BL12" s="243">
        <f>BL29+BL31+BL32+BL34+BL35-300000</f>
        <v>88240415.33333333</v>
      </c>
      <c r="BM12" s="243"/>
      <c r="BN12" s="243">
        <f>((8357268-99000-44402)/12*11)+99000+44402</f>
        <v>7672779.166666667</v>
      </c>
      <c r="BO12" s="243"/>
      <c r="BP12" s="243">
        <v>400000</v>
      </c>
      <c r="BQ12" s="243"/>
      <c r="BR12" s="243">
        <f>BR29+BR31+BR32+BR34+BR35-300000</f>
        <v>88944623.66666667</v>
      </c>
      <c r="BS12" s="243"/>
      <c r="BT12" s="243">
        <f>((8357268-99000-44402)/12*12)+99000+44402</f>
        <v>8357268</v>
      </c>
      <c r="BU12" s="243"/>
      <c r="BV12" s="243">
        <v>400000</v>
      </c>
      <c r="BW12" s="243"/>
      <c r="BX12" s="243">
        <f>BX29+BX31+BX32+BX34+BX35-300000</f>
        <v>89548832</v>
      </c>
      <c r="BY12" s="243"/>
      <c r="BZ12" s="243">
        <f aca="true" t="shared" si="0" ref="BZ12:BZ21">BT12</f>
        <v>8357268</v>
      </c>
      <c r="CA12" s="242">
        <f aca="true" t="shared" si="1" ref="CA12:CA21">BV12</f>
        <v>400000</v>
      </c>
      <c r="CB12" s="242">
        <f aca="true" t="shared" si="2" ref="CB12:CB21">BX12</f>
        <v>89548832</v>
      </c>
    </row>
    <row r="13" spans="1:80" s="252" customFormat="1" ht="15" thickBot="1" thickTop="1">
      <c r="A13" s="245"/>
      <c r="B13" s="244"/>
      <c r="C13" s="243"/>
      <c r="D13" s="251"/>
      <c r="E13" s="243"/>
      <c r="F13" s="243"/>
      <c r="G13" s="243"/>
      <c r="H13" s="243"/>
      <c r="I13" s="243"/>
      <c r="J13" s="243"/>
      <c r="K13" s="243">
        <v>16501</v>
      </c>
      <c r="L13" s="243">
        <f>((5431866-36072-111506-200000)/12*2)+200000+50000</f>
        <v>1097381.3333333335</v>
      </c>
      <c r="M13" s="243"/>
      <c r="N13" s="243">
        <v>0</v>
      </c>
      <c r="O13" s="243"/>
      <c r="P13" s="243">
        <f>P36+P35-700000</f>
        <v>1035000</v>
      </c>
      <c r="Q13" s="243"/>
      <c r="R13" s="243">
        <f>((5431866-36072-111506-200000)/12*3)+200000+111506+50000</f>
        <v>1632578</v>
      </c>
      <c r="S13" s="243"/>
      <c r="T13" s="243">
        <v>0</v>
      </c>
      <c r="U13" s="243"/>
      <c r="V13" s="243">
        <f>V36+V35-700000</f>
        <v>1035000</v>
      </c>
      <c r="W13" s="243"/>
      <c r="X13" s="243">
        <f>((5431866-36072-111506-200000)/12*4)+200000+111506+50000</f>
        <v>2056268.6666666667</v>
      </c>
      <c r="Y13" s="243"/>
      <c r="Z13" s="243">
        <v>0</v>
      </c>
      <c r="AA13" s="243"/>
      <c r="AB13" s="243">
        <f>AB36+AB35-700000</f>
        <v>1035000</v>
      </c>
      <c r="AC13" s="243"/>
      <c r="AD13" s="243">
        <f>((5431866-36072-111506-200000)/12*5)+200000+111506+50000</f>
        <v>2479959.3333333335</v>
      </c>
      <c r="AE13" s="243"/>
      <c r="AF13" s="243">
        <v>190000</v>
      </c>
      <c r="AG13" s="243"/>
      <c r="AH13" s="243">
        <f>AH36+AH35-700000</f>
        <v>1035000</v>
      </c>
      <c r="AI13" s="243"/>
      <c r="AJ13" s="243">
        <f>((5431866-36072-111506-200000)/12*6)+200000+111506+50000</f>
        <v>2903650</v>
      </c>
      <c r="AK13" s="243"/>
      <c r="AL13" s="247">
        <v>840000</v>
      </c>
      <c r="AM13" s="247"/>
      <c r="AN13" s="243">
        <f>AN36+AN35-700000</f>
        <v>1035000</v>
      </c>
      <c r="AO13" s="243"/>
      <c r="AP13" s="243">
        <f>((5431866-36072-111506-200000)/12*7)+200000+111506+50000</f>
        <v>3327340.666666667</v>
      </c>
      <c r="AQ13" s="243"/>
      <c r="AR13" s="247">
        <v>840000</v>
      </c>
      <c r="AS13" s="243"/>
      <c r="AT13" s="243">
        <f>AT36+AT35-700000</f>
        <v>1035000</v>
      </c>
      <c r="AU13" s="243"/>
      <c r="AV13" s="243">
        <f>((5431866-36072-111506-200000)/12*8)+200000+111506+50000</f>
        <v>3751031.3333333335</v>
      </c>
      <c r="AW13" s="243"/>
      <c r="AX13" s="247">
        <v>840000</v>
      </c>
      <c r="AY13" s="243"/>
      <c r="AZ13" s="243">
        <f>AZ36+AZ35-700000</f>
        <v>1035000</v>
      </c>
      <c r="BA13" s="243"/>
      <c r="BB13" s="243">
        <f>((5431866-36072-111506-200000)/12*9)+200000+111506+50000</f>
        <v>4174722</v>
      </c>
      <c r="BC13" s="243"/>
      <c r="BD13" s="247">
        <v>915000</v>
      </c>
      <c r="BE13" s="243"/>
      <c r="BF13" s="243">
        <f>BF36+BF35-700000</f>
        <v>1035000</v>
      </c>
      <c r="BG13" s="243"/>
      <c r="BH13" s="243">
        <f>((5431866-36072-111506-200000)/12*10)+200000+111506+50000</f>
        <v>4598412.666666667</v>
      </c>
      <c r="BI13" s="243"/>
      <c r="BJ13" s="247">
        <v>915000</v>
      </c>
      <c r="BK13" s="243"/>
      <c r="BL13" s="243">
        <f>BL36+BL35-700000</f>
        <v>1035000</v>
      </c>
      <c r="BM13" s="243"/>
      <c r="BN13" s="243">
        <f>((5431866-36072-111506-200000)/12*11)+200000+111506+36072+50000</f>
        <v>5058175.333333334</v>
      </c>
      <c r="BO13" s="243"/>
      <c r="BP13" s="243">
        <v>1150000</v>
      </c>
      <c r="BQ13" s="243"/>
      <c r="BR13" s="243">
        <f>BR36+BR35-700000</f>
        <v>1035000</v>
      </c>
      <c r="BS13" s="243"/>
      <c r="BT13" s="243">
        <f>((5431866-36072-111506-200000)/12*12)+200000+111506+36072+50000</f>
        <v>5481866</v>
      </c>
      <c r="BU13" s="243"/>
      <c r="BV13" s="243">
        <v>1750000</v>
      </c>
      <c r="BW13" s="243"/>
      <c r="BX13" s="243">
        <f>BX36+BX35-700000</f>
        <v>1035000</v>
      </c>
      <c r="BY13" s="243"/>
      <c r="BZ13" s="243">
        <f t="shared" si="0"/>
        <v>5481866</v>
      </c>
      <c r="CA13" s="242">
        <f t="shared" si="1"/>
        <v>1750000</v>
      </c>
      <c r="CB13" s="242">
        <f t="shared" si="2"/>
        <v>1035000</v>
      </c>
    </row>
    <row r="14" spans="1:80" s="252" customFormat="1" ht="15" thickBot="1" thickTop="1">
      <c r="A14" s="245"/>
      <c r="B14" s="244"/>
      <c r="C14" s="243"/>
      <c r="D14" s="251"/>
      <c r="E14" s="243"/>
      <c r="F14" s="243"/>
      <c r="G14" s="243"/>
      <c r="H14" s="243"/>
      <c r="I14" s="243"/>
      <c r="J14" s="243"/>
      <c r="K14" s="243">
        <v>19901</v>
      </c>
      <c r="L14" s="243">
        <f>((10680184-600000-98640-49708)/12*2)+600000</f>
        <v>2255306</v>
      </c>
      <c r="M14" s="243"/>
      <c r="N14" s="243">
        <v>90000</v>
      </c>
      <c r="O14" s="243"/>
      <c r="P14" s="243">
        <f>P38+P43</f>
        <v>0</v>
      </c>
      <c r="Q14" s="243"/>
      <c r="R14" s="243">
        <f>((10680184-600000-98640-49708)/12*3)+600000+98640</f>
        <v>3181599</v>
      </c>
      <c r="S14" s="243"/>
      <c r="T14" s="243">
        <v>540000</v>
      </c>
      <c r="U14" s="243"/>
      <c r="V14" s="243">
        <f>V38+V43</f>
        <v>0</v>
      </c>
      <c r="W14" s="243"/>
      <c r="X14" s="243">
        <f>((10680184-600000-98640-49708)/12*4)+600000+98640</f>
        <v>4009252</v>
      </c>
      <c r="Y14" s="243"/>
      <c r="Z14" s="243">
        <v>540000</v>
      </c>
      <c r="AA14" s="243"/>
      <c r="AB14" s="243">
        <f>AB38+AB43</f>
        <v>0</v>
      </c>
      <c r="AC14" s="243"/>
      <c r="AD14" s="243">
        <f>((10680184-600000-98640-49708)/12*5)+600000+98640</f>
        <v>4836905</v>
      </c>
      <c r="AE14" s="243"/>
      <c r="AF14" s="243">
        <v>740000</v>
      </c>
      <c r="AG14" s="243"/>
      <c r="AH14" s="243">
        <f>AH38+AH43</f>
        <v>0</v>
      </c>
      <c r="AI14" s="243"/>
      <c r="AJ14" s="243">
        <f>((10680184-600000-98640-49708)/12*6)+600000+98640</f>
        <v>5664558</v>
      </c>
      <c r="AK14" s="243"/>
      <c r="AL14" s="247">
        <v>2320000</v>
      </c>
      <c r="AM14" s="247"/>
      <c r="AN14" s="243">
        <f>AN38+AN43</f>
        <v>0</v>
      </c>
      <c r="AO14" s="243"/>
      <c r="AP14" s="243">
        <f>((10680184-600000-98640-49708)/12*7)+600000+98640</f>
        <v>6492211</v>
      </c>
      <c r="AQ14" s="243"/>
      <c r="AR14" s="243">
        <v>3620000</v>
      </c>
      <c r="AS14" s="243"/>
      <c r="AT14" s="243">
        <f>AT38+AT43</f>
        <v>0</v>
      </c>
      <c r="AU14" s="243"/>
      <c r="AV14" s="243">
        <f>((10680184-600000-98640-49708)/12*8)+600000+98640</f>
        <v>7319864</v>
      </c>
      <c r="AW14" s="243"/>
      <c r="AX14" s="243">
        <v>3820000</v>
      </c>
      <c r="AY14" s="243"/>
      <c r="AZ14" s="243">
        <f>AZ38+AZ43</f>
        <v>0</v>
      </c>
      <c r="BA14" s="243"/>
      <c r="BB14" s="243">
        <f>((10680184-600000-98640-49708)/12*9)+600000+98640</f>
        <v>8147517</v>
      </c>
      <c r="BC14" s="243"/>
      <c r="BD14" s="243">
        <v>4570000</v>
      </c>
      <c r="BE14" s="243"/>
      <c r="BF14" s="243">
        <f>BF38+BF43+BF39</f>
        <v>0</v>
      </c>
      <c r="BG14" s="243"/>
      <c r="BH14" s="243">
        <f>((10680184-600000-98640-49708)/12*10)+600000+98640</f>
        <v>8975170</v>
      </c>
      <c r="BI14" s="243"/>
      <c r="BJ14" s="247">
        <v>4670000</v>
      </c>
      <c r="BK14" s="243"/>
      <c r="BL14" s="243">
        <f>BL38+BL43+BL39</f>
        <v>0</v>
      </c>
      <c r="BM14" s="243"/>
      <c r="BN14" s="243">
        <f>((10680184-600000-98640-49708)/12*11)+600000+98640+49708</f>
        <v>9852531</v>
      </c>
      <c r="BO14" s="243"/>
      <c r="BP14" s="243">
        <v>5320000</v>
      </c>
      <c r="BQ14" s="243"/>
      <c r="BR14" s="243">
        <f>BR38+BR43+BR39</f>
        <v>0</v>
      </c>
      <c r="BS14" s="243"/>
      <c r="BT14" s="243">
        <f>((10680184-600000-98640-49708)/12*12)+600000+98640+49708</f>
        <v>10680184</v>
      </c>
      <c r="BU14" s="243"/>
      <c r="BV14" s="243">
        <v>6100000</v>
      </c>
      <c r="BW14" s="243"/>
      <c r="BX14" s="243">
        <f>BX38+BX43+BX39</f>
        <v>0</v>
      </c>
      <c r="BY14" s="243"/>
      <c r="BZ14" s="243">
        <f t="shared" si="0"/>
        <v>10680184</v>
      </c>
      <c r="CA14" s="242">
        <f t="shared" si="1"/>
        <v>6100000</v>
      </c>
      <c r="CB14" s="242">
        <f t="shared" si="2"/>
        <v>0</v>
      </c>
    </row>
    <row r="15" spans="1:80" s="252" customFormat="1" ht="15" hidden="1" thickBot="1" thickTop="1">
      <c r="A15" s="245"/>
      <c r="B15" s="244"/>
      <c r="C15" s="243"/>
      <c r="D15" s="251"/>
      <c r="E15" s="243"/>
      <c r="F15" s="243"/>
      <c r="G15" s="243"/>
      <c r="H15" s="243"/>
      <c r="I15" s="243"/>
      <c r="J15" s="243"/>
      <c r="K15" s="243">
        <v>0</v>
      </c>
      <c r="L15" s="243">
        <f>(3413850-26159-70763)/12*2</f>
        <v>552821.3333333334</v>
      </c>
      <c r="M15" s="243"/>
      <c r="N15" s="243">
        <v>420000</v>
      </c>
      <c r="O15" s="243"/>
      <c r="P15" s="243">
        <v>0</v>
      </c>
      <c r="Q15" s="243"/>
      <c r="R15" s="243">
        <f>((3413850-26159-70763)/12*3)+70763</f>
        <v>899995</v>
      </c>
      <c r="S15" s="243"/>
      <c r="T15" s="243">
        <v>570000</v>
      </c>
      <c r="U15" s="243"/>
      <c r="V15" s="243">
        <v>0</v>
      </c>
      <c r="W15" s="243"/>
      <c r="X15" s="243">
        <f>((3413850-26159-70763)/12*4)+70763</f>
        <v>1176405.6666666667</v>
      </c>
      <c r="Y15" s="243"/>
      <c r="Z15" s="243">
        <v>690000</v>
      </c>
      <c r="AA15" s="243"/>
      <c r="AB15" s="243">
        <v>0</v>
      </c>
      <c r="AC15" s="243"/>
      <c r="AD15" s="243">
        <f>((3413850-26159-70763)/12*5)+70763</f>
        <v>1452816.3333333335</v>
      </c>
      <c r="AE15" s="243"/>
      <c r="AF15" s="243">
        <v>2390000</v>
      </c>
      <c r="AG15" s="243"/>
      <c r="AH15" s="243">
        <v>0</v>
      </c>
      <c r="AI15" s="243"/>
      <c r="AJ15" s="243">
        <f>((3413850-26159-70763)/12*6)+70763</f>
        <v>1729227</v>
      </c>
      <c r="AK15" s="243"/>
      <c r="AL15" s="243">
        <v>2410000</v>
      </c>
      <c r="AM15" s="243"/>
      <c r="AN15" s="243">
        <v>0</v>
      </c>
      <c r="AO15" s="243"/>
      <c r="AP15" s="243">
        <f>((3413850-26159-70763)/12*7)+70763</f>
        <v>2005637.6666666667</v>
      </c>
      <c r="AQ15" s="243"/>
      <c r="AR15" s="243">
        <v>2660000</v>
      </c>
      <c r="AS15" s="243"/>
      <c r="AT15" s="243">
        <v>0</v>
      </c>
      <c r="AU15" s="243"/>
      <c r="AV15" s="243">
        <f>((3413850-26159-70763)/12*8)+70763</f>
        <v>2282048.3333333335</v>
      </c>
      <c r="AW15" s="243"/>
      <c r="AX15" s="243">
        <v>2930000</v>
      </c>
      <c r="AY15" s="243"/>
      <c r="AZ15" s="243">
        <v>0</v>
      </c>
      <c r="BA15" s="243"/>
      <c r="BB15" s="243">
        <f>((3413850-26159-70763)/12*9)+70763</f>
        <v>2558459</v>
      </c>
      <c r="BC15" s="243"/>
      <c r="BD15" s="243">
        <v>2980000</v>
      </c>
      <c r="BE15" s="243"/>
      <c r="BF15" s="243">
        <f>BF41+BF42</f>
        <v>0</v>
      </c>
      <c r="BG15" s="243"/>
      <c r="BH15" s="243">
        <f>((3413850-26159-70763)/12*10)+70763</f>
        <v>2834869.666666667</v>
      </c>
      <c r="BI15" s="243"/>
      <c r="BJ15" s="247">
        <v>3100000</v>
      </c>
      <c r="BK15" s="243"/>
      <c r="BL15" s="243">
        <f>BL41+BL42</f>
        <v>0</v>
      </c>
      <c r="BM15" s="243"/>
      <c r="BN15" s="243">
        <f>((3413850-26159-70763)/12*11)+70763+26159</f>
        <v>3137439.3333333335</v>
      </c>
      <c r="BO15" s="243"/>
      <c r="BP15" s="243">
        <v>3250000</v>
      </c>
      <c r="BQ15" s="243"/>
      <c r="BR15" s="243">
        <f>BR41+BR42</f>
        <v>0</v>
      </c>
      <c r="BS15" s="243"/>
      <c r="BT15" s="243">
        <f>((3413850-26159-70763)/12*12)+70763+26159</f>
        <v>3413850</v>
      </c>
      <c r="BU15" s="243"/>
      <c r="BV15" s="243">
        <v>3270000</v>
      </c>
      <c r="BW15" s="243"/>
      <c r="BX15" s="243">
        <f>BX41+BX42</f>
        <v>0</v>
      </c>
      <c r="BY15" s="243"/>
      <c r="BZ15" s="243">
        <f t="shared" si="0"/>
        <v>3413850</v>
      </c>
      <c r="CA15" s="242">
        <f t="shared" si="1"/>
        <v>3270000</v>
      </c>
      <c r="CB15" s="242">
        <f t="shared" si="2"/>
        <v>0</v>
      </c>
    </row>
    <row r="16" spans="1:80" s="252" customFormat="1" ht="15" thickBot="1" thickTop="1">
      <c r="A16" s="245"/>
      <c r="B16" s="244"/>
      <c r="C16" s="243"/>
      <c r="D16" s="251"/>
      <c r="E16" s="243"/>
      <c r="F16" s="243"/>
      <c r="G16" s="243"/>
      <c r="H16" s="243"/>
      <c r="I16" s="243"/>
      <c r="J16" s="243"/>
      <c r="K16" s="243">
        <v>0</v>
      </c>
      <c r="L16" s="243">
        <f>((2169140-16782-71478)/12)*2</f>
        <v>346813.3333333333</v>
      </c>
      <c r="M16" s="243"/>
      <c r="N16" s="243">
        <v>0</v>
      </c>
      <c r="O16" s="243"/>
      <c r="P16" s="243">
        <v>0</v>
      </c>
      <c r="Q16" s="243"/>
      <c r="R16" s="243">
        <f>(((2169140-16782-71478)/12)*3)+71478</f>
        <v>591698</v>
      </c>
      <c r="S16" s="243"/>
      <c r="T16" s="243">
        <v>500000</v>
      </c>
      <c r="U16" s="243"/>
      <c r="V16" s="243">
        <v>0</v>
      </c>
      <c r="W16" s="243"/>
      <c r="X16" s="243">
        <f>(((2169140-16782-71478)/12)*4)+71478</f>
        <v>765104.6666666666</v>
      </c>
      <c r="Y16" s="243"/>
      <c r="Z16" s="243">
        <v>500000</v>
      </c>
      <c r="AA16" s="243"/>
      <c r="AB16" s="243">
        <v>0</v>
      </c>
      <c r="AC16" s="243"/>
      <c r="AD16" s="243">
        <f>(((2169140-16782-71478)/12)*5)+71478</f>
        <v>938511.3333333333</v>
      </c>
      <c r="AE16" s="243"/>
      <c r="AF16" s="243">
        <v>1000000</v>
      </c>
      <c r="AG16" s="243"/>
      <c r="AH16" s="243">
        <v>0</v>
      </c>
      <c r="AI16" s="243"/>
      <c r="AJ16" s="243">
        <f>(((2169140-16782-71478)/12)*6)+71478</f>
        <v>1111918</v>
      </c>
      <c r="AK16" s="243"/>
      <c r="AL16" s="243">
        <v>1000000</v>
      </c>
      <c r="AM16" s="243"/>
      <c r="AN16" s="243">
        <v>0</v>
      </c>
      <c r="AO16" s="243"/>
      <c r="AP16" s="243">
        <f>(((2169140-16782-71478)/12)*7)+71478</f>
        <v>1285324.6666666665</v>
      </c>
      <c r="AQ16" s="243"/>
      <c r="AR16" s="243">
        <v>1950000</v>
      </c>
      <c r="AS16" s="243"/>
      <c r="AT16" s="243">
        <v>0</v>
      </c>
      <c r="AU16" s="243"/>
      <c r="AV16" s="243">
        <f>(((2169140-16782-71478)/12)*8)+71478</f>
        <v>1458731.3333333333</v>
      </c>
      <c r="AW16" s="243"/>
      <c r="AX16" s="243">
        <v>1950000</v>
      </c>
      <c r="AY16" s="243"/>
      <c r="AZ16" s="243">
        <v>0</v>
      </c>
      <c r="BA16" s="243"/>
      <c r="BB16" s="243">
        <f>(((2169140-16782-71478)/12)*9)+71478</f>
        <v>1632138</v>
      </c>
      <c r="BC16" s="243"/>
      <c r="BD16" s="243">
        <v>3000000</v>
      </c>
      <c r="BE16" s="243"/>
      <c r="BF16" s="243">
        <f>BF40</f>
        <v>0</v>
      </c>
      <c r="BG16" s="243"/>
      <c r="BH16" s="243">
        <f>(((2169140-16782-71478)/12)*10)+71478</f>
        <v>1805544.6666666665</v>
      </c>
      <c r="BI16" s="243"/>
      <c r="BJ16" s="247">
        <v>3000000</v>
      </c>
      <c r="BK16" s="243"/>
      <c r="BL16" s="243">
        <f>BL40</f>
        <v>0</v>
      </c>
      <c r="BM16" s="243"/>
      <c r="BN16" s="243">
        <f>(((2169140-16782-71478)/12)*11)+71478+16782</f>
        <v>1995733.3333333333</v>
      </c>
      <c r="BO16" s="243"/>
      <c r="BP16" s="243">
        <v>3600000</v>
      </c>
      <c r="BQ16" s="243"/>
      <c r="BR16" s="243">
        <f>BR40</f>
        <v>0</v>
      </c>
      <c r="BS16" s="243"/>
      <c r="BT16" s="243">
        <f>(((2169140-16782-71478)/12)*12)+71478+16782</f>
        <v>2169140</v>
      </c>
      <c r="BU16" s="243"/>
      <c r="BV16" s="243">
        <v>4000000</v>
      </c>
      <c r="BW16" s="243"/>
      <c r="BX16" s="243">
        <f>BX40</f>
        <v>0</v>
      </c>
      <c r="BY16" s="243"/>
      <c r="BZ16" s="243">
        <f t="shared" si="0"/>
        <v>2169140</v>
      </c>
      <c r="CA16" s="243">
        <f t="shared" si="1"/>
        <v>4000000</v>
      </c>
      <c r="CB16" s="242">
        <f t="shared" si="2"/>
        <v>0</v>
      </c>
    </row>
    <row r="17" spans="1:80" s="252" customFormat="1" ht="15" thickBot="1" thickTop="1">
      <c r="A17" s="245"/>
      <c r="B17" s="244"/>
      <c r="C17" s="243"/>
      <c r="D17" s="251"/>
      <c r="E17" s="243"/>
      <c r="F17" s="243"/>
      <c r="G17" s="243"/>
      <c r="H17" s="243"/>
      <c r="I17" s="243"/>
      <c r="J17" s="243"/>
      <c r="K17" s="243">
        <v>0</v>
      </c>
      <c r="L17" s="243">
        <f>(((11288417-40279-4278326)/12)*2)+(324115.61*2)</f>
        <v>1809866.5533333332</v>
      </c>
      <c r="M17" s="243"/>
      <c r="N17" s="243">
        <v>70000</v>
      </c>
      <c r="O17" s="243"/>
      <c r="P17" s="243">
        <v>0</v>
      </c>
      <c r="Q17" s="243"/>
      <c r="R17" s="243">
        <f>(((11288417-40279-4278326)/12)*3)+(324115.61*3)</f>
        <v>2714799.83</v>
      </c>
      <c r="S17" s="243"/>
      <c r="T17" s="243">
        <v>900000</v>
      </c>
      <c r="U17" s="243"/>
      <c r="V17" s="243">
        <v>0</v>
      </c>
      <c r="W17" s="243"/>
      <c r="X17" s="243">
        <f>(((11288417-40279-4278326)/12)*4)+(324115.61*4)</f>
        <v>3619733.1066666665</v>
      </c>
      <c r="Y17" s="243"/>
      <c r="Z17" s="243">
        <v>950000</v>
      </c>
      <c r="AA17" s="242"/>
      <c r="AB17" s="243">
        <v>0</v>
      </c>
      <c r="AC17" s="243"/>
      <c r="AD17" s="243">
        <f>(((11288417-40279-4278326)/12)*5)+(324115.61*5)</f>
        <v>4524666.383333333</v>
      </c>
      <c r="AE17" s="243"/>
      <c r="AF17" s="243">
        <v>1100000</v>
      </c>
      <c r="AG17" s="242"/>
      <c r="AH17" s="243">
        <v>0</v>
      </c>
      <c r="AI17" s="243"/>
      <c r="AJ17" s="243">
        <f>(((11288417-40279-4278326)/12)*6)+(324115.61*6)</f>
        <v>5429599.66</v>
      </c>
      <c r="AK17" s="243"/>
      <c r="AL17" s="243">
        <v>1700000</v>
      </c>
      <c r="AM17" s="242"/>
      <c r="AN17" s="243">
        <v>0</v>
      </c>
      <c r="AO17" s="243"/>
      <c r="AP17" s="243">
        <f>(((11288417-40279-4278326)/12)*7)+(324115.61*6)+(324115.61*0.6)+(1*1.1*324115.61)</f>
        <v>6561413.863666667</v>
      </c>
      <c r="AQ17" s="243"/>
      <c r="AR17" s="243">
        <v>1950000</v>
      </c>
      <c r="AS17" s="242"/>
      <c r="AT17" s="243">
        <v>0</v>
      </c>
      <c r="AU17" s="243"/>
      <c r="AV17" s="243">
        <f>(((11288417-40279-4278326)/12)*8)+(324115.61*6)+(324115.61*0.6)+(2*1.1*324115.61)</f>
        <v>7498758.701333334</v>
      </c>
      <c r="AW17" s="243"/>
      <c r="AX17" s="243">
        <v>2050000</v>
      </c>
      <c r="AY17" s="242"/>
      <c r="AZ17" s="243">
        <v>0</v>
      </c>
      <c r="BA17" s="243"/>
      <c r="BB17" s="243">
        <f>(((11288417-40279-4278326)/12)*9)+(324115.61*6)+(324115.61*0.6)+(3*1.1*324115.61)</f>
        <v>8436103.539</v>
      </c>
      <c r="BC17" s="243"/>
      <c r="BD17" s="243">
        <v>2600000</v>
      </c>
      <c r="BE17" s="242"/>
      <c r="BF17" s="243">
        <v>0</v>
      </c>
      <c r="BG17" s="243"/>
      <c r="BH17" s="243">
        <f>(((11288417-40279-4278326)/12)*10)+(324115.61*6)+(324115.61*0.6)+(4*1.1*324115.61)</f>
        <v>9373448.376666667</v>
      </c>
      <c r="BI17" s="243"/>
      <c r="BJ17" s="247">
        <v>2600000</v>
      </c>
      <c r="BK17" s="242"/>
      <c r="BL17" s="243">
        <v>0</v>
      </c>
      <c r="BM17" s="243"/>
      <c r="BN17" s="243">
        <f>(((11288417-40279-4278326)/12)*11)+(324115.61*6)+(324115.61*0.6)+(5*1.1*324115.61)+40279</f>
        <v>10351072.214333333</v>
      </c>
      <c r="BO17" s="243"/>
      <c r="BP17" s="243">
        <v>2700000</v>
      </c>
      <c r="BQ17" s="242"/>
      <c r="BR17" s="243">
        <v>0</v>
      </c>
      <c r="BS17" s="243"/>
      <c r="BT17" s="243">
        <f>(((11288417-40279-4278326)/12)*12)+(324115.61*6)+(324115.61*0.6)+(6*1.1*324115.61)+40279</f>
        <v>11288417.052000001</v>
      </c>
      <c r="BU17" s="243"/>
      <c r="BV17" s="243">
        <v>3300000</v>
      </c>
      <c r="BW17" s="242"/>
      <c r="BX17" s="243">
        <v>0</v>
      </c>
      <c r="BY17" s="243"/>
      <c r="BZ17" s="243">
        <f t="shared" si="0"/>
        <v>11288417.052000001</v>
      </c>
      <c r="CA17" s="243">
        <f t="shared" si="1"/>
        <v>3300000</v>
      </c>
      <c r="CB17" s="242">
        <f t="shared" si="2"/>
        <v>0</v>
      </c>
    </row>
    <row r="18" spans="1:89" s="252" customFormat="1" ht="15" thickBot="1" thickTop="1">
      <c r="A18" s="245"/>
      <c r="B18" s="244"/>
      <c r="C18" s="243"/>
      <c r="D18" s="251"/>
      <c r="E18" s="243"/>
      <c r="F18" s="243"/>
      <c r="G18" s="243"/>
      <c r="H18" s="243"/>
      <c r="I18" s="243"/>
      <c r="J18" s="243"/>
      <c r="K18" s="243">
        <v>0</v>
      </c>
      <c r="L18" s="243">
        <f>(1572887-10569)/12*2</f>
        <v>260386.33333333334</v>
      </c>
      <c r="M18" s="243"/>
      <c r="N18" s="243">
        <v>0</v>
      </c>
      <c r="O18" s="243"/>
      <c r="P18" s="243">
        <v>0</v>
      </c>
      <c r="Q18" s="243"/>
      <c r="R18" s="243">
        <f>(1572887-10569)/12*3</f>
        <v>390579.5</v>
      </c>
      <c r="S18" s="243"/>
      <c r="T18" s="243">
        <v>0</v>
      </c>
      <c r="U18" s="243"/>
      <c r="V18" s="243">
        <v>0</v>
      </c>
      <c r="W18" s="243"/>
      <c r="X18" s="243">
        <f>(1572887-10569)/12*4</f>
        <v>520772.6666666667</v>
      </c>
      <c r="Y18" s="243"/>
      <c r="Z18" s="243">
        <v>0</v>
      </c>
      <c r="AA18" s="242"/>
      <c r="AB18" s="243">
        <v>0</v>
      </c>
      <c r="AC18" s="243"/>
      <c r="AD18" s="243">
        <f>(1572887-10569)/12*5</f>
        <v>650965.8333333334</v>
      </c>
      <c r="AE18" s="243"/>
      <c r="AF18" s="243">
        <v>0</v>
      </c>
      <c r="AG18" s="242"/>
      <c r="AH18" s="243">
        <v>0</v>
      </c>
      <c r="AI18" s="243"/>
      <c r="AJ18" s="243">
        <f>(1572887-10569)/12*6</f>
        <v>781159</v>
      </c>
      <c r="AK18" s="243"/>
      <c r="AL18" s="243">
        <v>0</v>
      </c>
      <c r="AM18" s="242"/>
      <c r="AN18" s="243">
        <v>0</v>
      </c>
      <c r="AO18" s="243"/>
      <c r="AP18" s="243">
        <f>(1572887-10569)/12*7</f>
        <v>911352.1666666667</v>
      </c>
      <c r="AQ18" s="243"/>
      <c r="AR18" s="243">
        <v>0</v>
      </c>
      <c r="AS18" s="242"/>
      <c r="AT18" s="243">
        <v>0</v>
      </c>
      <c r="AU18" s="243"/>
      <c r="AV18" s="243">
        <f>(1572887-10569)/12*8</f>
        <v>1041545.3333333334</v>
      </c>
      <c r="AW18" s="243"/>
      <c r="AX18" s="243">
        <v>0</v>
      </c>
      <c r="AY18" s="242"/>
      <c r="AZ18" s="243">
        <v>0</v>
      </c>
      <c r="BA18" s="243"/>
      <c r="BB18" s="243">
        <f>(1572887-10569)/12*9</f>
        <v>1171738.5</v>
      </c>
      <c r="BC18" s="243"/>
      <c r="BD18" s="243">
        <v>0</v>
      </c>
      <c r="BE18" s="242"/>
      <c r="BF18" s="243">
        <v>0</v>
      </c>
      <c r="BG18" s="243"/>
      <c r="BH18" s="243">
        <f>(1572887-10569)/12*10</f>
        <v>1301931.6666666667</v>
      </c>
      <c r="BI18" s="243"/>
      <c r="BJ18" s="247">
        <v>0</v>
      </c>
      <c r="BK18" s="242"/>
      <c r="BL18" s="243">
        <v>0</v>
      </c>
      <c r="BM18" s="243"/>
      <c r="BN18" s="243">
        <f>((1572887-10569)/12*11)+10569</f>
        <v>1442693.8333333335</v>
      </c>
      <c r="BO18" s="243"/>
      <c r="BP18" s="243">
        <v>0</v>
      </c>
      <c r="BQ18" s="242"/>
      <c r="BR18" s="243">
        <v>0</v>
      </c>
      <c r="BS18" s="243"/>
      <c r="BT18" s="243">
        <f>((1572887-10569)/12*12)+10569</f>
        <v>1572887</v>
      </c>
      <c r="BU18" s="243"/>
      <c r="BV18" s="243">
        <v>0</v>
      </c>
      <c r="BW18" s="242"/>
      <c r="BX18" s="243">
        <v>0</v>
      </c>
      <c r="BY18" s="243"/>
      <c r="BZ18" s="243">
        <f t="shared" si="0"/>
        <v>1572887</v>
      </c>
      <c r="CA18" s="243">
        <f t="shared" si="1"/>
        <v>0</v>
      </c>
      <c r="CB18" s="242">
        <f t="shared" si="2"/>
        <v>0</v>
      </c>
      <c r="CK18" s="252">
        <v>0</v>
      </c>
    </row>
    <row r="19" spans="1:80" s="252" customFormat="1" ht="15" thickBot="1" thickTop="1">
      <c r="A19" s="245"/>
      <c r="B19" s="244"/>
      <c r="C19" s="243"/>
      <c r="D19" s="251"/>
      <c r="E19" s="243"/>
      <c r="F19" s="274"/>
      <c r="G19" s="247"/>
      <c r="H19" s="243"/>
      <c r="I19" s="243"/>
      <c r="J19" s="243"/>
      <c r="K19" s="243">
        <v>0</v>
      </c>
      <c r="L19" s="243">
        <f>(14310142-27240)/12*2</f>
        <v>2380483.6666666665</v>
      </c>
      <c r="M19" s="243"/>
      <c r="N19" s="274">
        <v>830000</v>
      </c>
      <c r="O19" s="247"/>
      <c r="P19" s="243">
        <f>P33</f>
        <v>4166.666666666667</v>
      </c>
      <c r="Q19" s="243"/>
      <c r="R19" s="243">
        <f>(14310142-27240)/12*3</f>
        <v>3570725.5</v>
      </c>
      <c r="S19" s="243"/>
      <c r="T19" s="274">
        <v>830000</v>
      </c>
      <c r="U19" s="247"/>
      <c r="V19" s="243">
        <f>V33</f>
        <v>6250</v>
      </c>
      <c r="W19" s="243"/>
      <c r="X19" s="243">
        <f>(14310142-27240)/12*4</f>
        <v>4760967.333333333</v>
      </c>
      <c r="Y19" s="243"/>
      <c r="Z19" s="274">
        <v>3805250</v>
      </c>
      <c r="AA19" s="247"/>
      <c r="AB19" s="243">
        <f>AB33</f>
        <v>8333.333333333334</v>
      </c>
      <c r="AC19" s="243"/>
      <c r="AD19" s="243">
        <f>(14310142-27240)/12*5</f>
        <v>5951209.166666666</v>
      </c>
      <c r="AE19" s="243"/>
      <c r="AF19" s="274">
        <v>4230250</v>
      </c>
      <c r="AG19" s="247"/>
      <c r="AH19" s="243">
        <f>AH33</f>
        <v>10416.666666666668</v>
      </c>
      <c r="AI19" s="243"/>
      <c r="AJ19" s="243">
        <f>(14310142-27240)/12*6</f>
        <v>7141451</v>
      </c>
      <c r="AK19" s="243"/>
      <c r="AL19" s="274">
        <v>6457750</v>
      </c>
      <c r="AM19" s="247"/>
      <c r="AN19" s="243">
        <f>AN33</f>
        <v>12500</v>
      </c>
      <c r="AO19" s="243"/>
      <c r="AP19" s="243">
        <f>(14310142-27240)/12*7</f>
        <v>8331692.833333333</v>
      </c>
      <c r="AQ19" s="243"/>
      <c r="AR19" s="274">
        <v>6457750</v>
      </c>
      <c r="AS19" s="247"/>
      <c r="AT19" s="243">
        <f>AT33</f>
        <v>14583.333333333334</v>
      </c>
      <c r="AU19" s="243"/>
      <c r="AV19" s="243">
        <f>(14310142-27240)/12*8</f>
        <v>9521934.666666666</v>
      </c>
      <c r="AW19" s="243"/>
      <c r="AX19" s="274">
        <v>6457750</v>
      </c>
      <c r="AY19" s="247"/>
      <c r="AZ19" s="243">
        <f>AZ33</f>
        <v>16666.666666666668</v>
      </c>
      <c r="BA19" s="243"/>
      <c r="BB19" s="243">
        <f>(14310142-27240)/12*9</f>
        <v>10712176.5</v>
      </c>
      <c r="BC19" s="243"/>
      <c r="BD19" s="274">
        <v>6457750</v>
      </c>
      <c r="BE19" s="247"/>
      <c r="BF19" s="243">
        <f>BF33</f>
        <v>18750</v>
      </c>
      <c r="BG19" s="243"/>
      <c r="BH19" s="243">
        <f>(14310142-27240)/12*10</f>
        <v>11902418.333333332</v>
      </c>
      <c r="BI19" s="243"/>
      <c r="BJ19" s="274">
        <v>6457750</v>
      </c>
      <c r="BK19" s="247"/>
      <c r="BL19" s="243">
        <f>BL33</f>
        <v>20833.333333333336</v>
      </c>
      <c r="BM19" s="243"/>
      <c r="BN19" s="243">
        <f>((14310142-27240)/12*11)+27240</f>
        <v>13119900.166666666</v>
      </c>
      <c r="BO19" s="243"/>
      <c r="BP19" s="243">
        <v>9485000</v>
      </c>
      <c r="BQ19" s="247"/>
      <c r="BR19" s="243">
        <f>BR33</f>
        <v>22916.666666666668</v>
      </c>
      <c r="BS19" s="243"/>
      <c r="BT19" s="243">
        <f>((14310142-27240)/12*12)+27240</f>
        <v>14310142</v>
      </c>
      <c r="BU19" s="243"/>
      <c r="BV19" s="243">
        <v>9485000</v>
      </c>
      <c r="BW19" s="247"/>
      <c r="BX19" s="243">
        <f>BX33</f>
        <v>25000</v>
      </c>
      <c r="BY19" s="243"/>
      <c r="BZ19" s="243">
        <f t="shared" si="0"/>
        <v>14310142</v>
      </c>
      <c r="CA19" s="243">
        <f t="shared" si="1"/>
        <v>9485000</v>
      </c>
      <c r="CB19" s="242">
        <f t="shared" si="2"/>
        <v>25000</v>
      </c>
    </row>
    <row r="20" spans="1:80" s="252" customFormat="1" ht="15" thickBot="1" thickTop="1">
      <c r="A20" s="245"/>
      <c r="B20" s="244"/>
      <c r="C20" s="243"/>
      <c r="D20" s="251"/>
      <c r="E20" s="243"/>
      <c r="F20" s="273"/>
      <c r="G20" s="272"/>
      <c r="H20" s="243"/>
      <c r="I20" s="243"/>
      <c r="J20" s="243"/>
      <c r="K20" s="243">
        <v>0</v>
      </c>
      <c r="L20" s="243">
        <f>(10637073-85167)/12*2</f>
        <v>1758651</v>
      </c>
      <c r="M20" s="243">
        <v>1</v>
      </c>
      <c r="N20" s="271">
        <v>0</v>
      </c>
      <c r="O20" s="243"/>
      <c r="P20" s="243">
        <f>P37</f>
        <v>1862750</v>
      </c>
      <c r="Q20" s="243"/>
      <c r="R20" s="243">
        <f>(10637073-85167)/12*3</f>
        <v>2637976.5</v>
      </c>
      <c r="S20" s="243"/>
      <c r="T20" s="270">
        <v>30000</v>
      </c>
      <c r="U20" s="243"/>
      <c r="V20" s="243">
        <f>V37</f>
        <v>1862750</v>
      </c>
      <c r="W20" s="243"/>
      <c r="X20" s="243">
        <f>(10637073-85167)/12*4</f>
        <v>3517302</v>
      </c>
      <c r="Y20" s="243"/>
      <c r="Z20" s="270">
        <v>30000</v>
      </c>
      <c r="AA20" s="243"/>
      <c r="AB20" s="243">
        <f>AB37</f>
        <v>3725500</v>
      </c>
      <c r="AC20" s="243"/>
      <c r="AD20" s="243">
        <f>(10637073-85167)/12*5</f>
        <v>4396627.5</v>
      </c>
      <c r="AE20" s="243"/>
      <c r="AF20" s="270">
        <v>30000</v>
      </c>
      <c r="AG20" s="243"/>
      <c r="AH20" s="243">
        <f>AH37</f>
        <v>3725500</v>
      </c>
      <c r="AI20" s="243"/>
      <c r="AJ20" s="243">
        <f>(10637073-85167)/12*6</f>
        <v>5275953</v>
      </c>
      <c r="AK20" s="243"/>
      <c r="AL20" s="270">
        <v>200000</v>
      </c>
      <c r="AM20" s="243"/>
      <c r="AN20" s="243">
        <f>AN37</f>
        <v>3725500</v>
      </c>
      <c r="AO20" s="243"/>
      <c r="AP20" s="243">
        <f>(10637073-85167)/12*7</f>
        <v>6155278.5</v>
      </c>
      <c r="AQ20" s="243"/>
      <c r="AR20" s="270">
        <v>200000</v>
      </c>
      <c r="AS20" s="243"/>
      <c r="AT20" s="243">
        <f>AT37</f>
        <v>5588250</v>
      </c>
      <c r="AU20" s="243"/>
      <c r="AV20" s="243">
        <f>(10637073-85167)/12*8</f>
        <v>7034604</v>
      </c>
      <c r="AW20" s="243"/>
      <c r="AX20" s="270">
        <v>200000</v>
      </c>
      <c r="AY20" s="243"/>
      <c r="AZ20" s="243">
        <f>AZ37</f>
        <v>5588250</v>
      </c>
      <c r="BA20" s="243"/>
      <c r="BB20" s="243">
        <f>(10637073-85167)/12*9</f>
        <v>7913929.5</v>
      </c>
      <c r="BC20" s="243"/>
      <c r="BD20" s="270">
        <v>1000000</v>
      </c>
      <c r="BE20" s="243"/>
      <c r="BF20" s="243">
        <f>BF37</f>
        <v>5588250</v>
      </c>
      <c r="BG20" s="243"/>
      <c r="BH20" s="243">
        <f>(10637073-85167)/12*10</f>
        <v>8793255</v>
      </c>
      <c r="BI20" s="243"/>
      <c r="BJ20" s="270">
        <v>1000000</v>
      </c>
      <c r="BK20" s="243"/>
      <c r="BL20" s="243">
        <f>BL37</f>
        <v>7451000</v>
      </c>
      <c r="BM20" s="243"/>
      <c r="BN20" s="243">
        <f>((10637073-85167)/12*11)+85167</f>
        <v>9757747.5</v>
      </c>
      <c r="BO20" s="243"/>
      <c r="BP20" s="270">
        <v>1000000</v>
      </c>
      <c r="BQ20" s="243"/>
      <c r="BR20" s="243">
        <f>BR37</f>
        <v>7451000</v>
      </c>
      <c r="BS20" s="243"/>
      <c r="BT20" s="243">
        <f>((10637073-85167)/12*12)+85167</f>
        <v>10637073</v>
      </c>
      <c r="BU20" s="243"/>
      <c r="BV20" s="270">
        <v>1000000</v>
      </c>
      <c r="BW20" s="243"/>
      <c r="BX20" s="243">
        <f>BX37</f>
        <v>7451000</v>
      </c>
      <c r="BY20" s="243"/>
      <c r="BZ20" s="243">
        <f t="shared" si="0"/>
        <v>10637073</v>
      </c>
      <c r="CA20" s="243">
        <f t="shared" si="1"/>
        <v>1000000</v>
      </c>
      <c r="CB20" s="242">
        <f t="shared" si="2"/>
        <v>7451000</v>
      </c>
    </row>
    <row r="21" spans="1:80" s="252" customFormat="1" ht="15" thickBot="1" thickTop="1">
      <c r="A21" s="245" t="s">
        <v>101</v>
      </c>
      <c r="B21" s="244"/>
      <c r="C21" s="243">
        <f>(2907969-16366)/12*1</f>
        <v>240966.91666666666</v>
      </c>
      <c r="D21" s="251"/>
      <c r="E21" s="243">
        <f>EXP!D71</f>
        <v>39297729</v>
      </c>
      <c r="F21" s="243">
        <v>0</v>
      </c>
      <c r="G21" s="243"/>
      <c r="H21" s="243">
        <v>0</v>
      </c>
      <c r="I21" s="243">
        <f>I28</f>
        <v>109000</v>
      </c>
      <c r="J21" s="243">
        <v>1</v>
      </c>
      <c r="K21" s="243">
        <v>49955</v>
      </c>
      <c r="L21" s="243">
        <f>(2907969-16366)/12*2</f>
        <v>481933.8333333333</v>
      </c>
      <c r="M21" s="243"/>
      <c r="N21" s="243">
        <v>0</v>
      </c>
      <c r="O21" s="243">
        <v>1</v>
      </c>
      <c r="P21" s="251">
        <f>P28</f>
        <v>218000</v>
      </c>
      <c r="Q21" s="243"/>
      <c r="R21" s="243">
        <f>(2907969-16366)/12*3</f>
        <v>722900.75</v>
      </c>
      <c r="S21" s="243"/>
      <c r="T21" s="243">
        <v>0</v>
      </c>
      <c r="U21" s="243"/>
      <c r="V21" s="243">
        <f>V28</f>
        <v>327000</v>
      </c>
      <c r="W21" s="243"/>
      <c r="X21" s="243">
        <f>(2907969-16366)/12*4</f>
        <v>963867.6666666666</v>
      </c>
      <c r="Y21" s="269"/>
      <c r="Z21" s="243">
        <v>0</v>
      </c>
      <c r="AA21" s="243"/>
      <c r="AB21" s="243">
        <f>AB28+AB30</f>
        <v>436500</v>
      </c>
      <c r="AC21" s="243"/>
      <c r="AD21" s="243">
        <f>(2907969-16366)/12*5</f>
        <v>1204834.5833333333</v>
      </c>
      <c r="AE21" s="243"/>
      <c r="AF21" s="243">
        <v>0</v>
      </c>
      <c r="AG21" s="243"/>
      <c r="AH21" s="243">
        <f>AH28+AH30</f>
        <v>546000</v>
      </c>
      <c r="AI21" s="243"/>
      <c r="AJ21" s="243">
        <f>(2907969-16366)/12*6</f>
        <v>1445801.5</v>
      </c>
      <c r="AK21" s="243"/>
      <c r="AL21" s="243">
        <v>0</v>
      </c>
      <c r="AM21" s="243"/>
      <c r="AN21" s="243">
        <f>AN28+AN30</f>
        <v>658185</v>
      </c>
      <c r="AO21" s="243"/>
      <c r="AP21" s="243">
        <f>(2907969-16366)/12*7</f>
        <v>1686768.4166666665</v>
      </c>
      <c r="AQ21" s="243"/>
      <c r="AR21" s="243">
        <v>0</v>
      </c>
      <c r="AS21" s="243"/>
      <c r="AT21" s="243">
        <f>AT28+AT30</f>
        <v>770370</v>
      </c>
      <c r="AU21" s="243"/>
      <c r="AV21" s="243">
        <f>(2907969-16366)/12*8</f>
        <v>1927735.3333333333</v>
      </c>
      <c r="AW21" s="243"/>
      <c r="AX21" s="243">
        <v>0</v>
      </c>
      <c r="AY21" s="243"/>
      <c r="AZ21" s="243">
        <f>AZ28+AZ30</f>
        <v>879870</v>
      </c>
      <c r="BA21" s="243"/>
      <c r="BB21" s="243">
        <f>(2907969-16366)/12*9</f>
        <v>2168702.25</v>
      </c>
      <c r="BC21" s="243"/>
      <c r="BD21" s="243">
        <v>0</v>
      </c>
      <c r="BE21" s="243"/>
      <c r="BF21" s="243">
        <f>BF28+BF30</f>
        <v>989370</v>
      </c>
      <c r="BG21" s="243"/>
      <c r="BH21" s="243">
        <f>(2907969-16366)/12*10</f>
        <v>2409669.1666666665</v>
      </c>
      <c r="BI21" s="243"/>
      <c r="BJ21" s="243">
        <v>0</v>
      </c>
      <c r="BK21" s="243"/>
      <c r="BL21" s="243">
        <f>BL28+BL30</f>
        <v>1098370</v>
      </c>
      <c r="BM21" s="243"/>
      <c r="BN21" s="243">
        <f>((2907969-16366)/12*11)+16366</f>
        <v>2667002.083333333</v>
      </c>
      <c r="BO21" s="243"/>
      <c r="BP21" s="243">
        <v>0</v>
      </c>
      <c r="BQ21" s="243"/>
      <c r="BR21" s="243">
        <f>BR28+BR30</f>
        <v>1207370</v>
      </c>
      <c r="BS21" s="243"/>
      <c r="BT21" s="243">
        <f>((2907969-16366)/12*12)+16366</f>
        <v>2907969</v>
      </c>
      <c r="BU21" s="243"/>
      <c r="BV21" s="243">
        <v>0</v>
      </c>
      <c r="BW21" s="243"/>
      <c r="BX21" s="243">
        <f>BX28+BX30</f>
        <v>1316370</v>
      </c>
      <c r="BY21" s="243"/>
      <c r="BZ21" s="243">
        <f t="shared" si="0"/>
        <v>2907969</v>
      </c>
      <c r="CA21" s="243">
        <f t="shared" si="1"/>
        <v>0</v>
      </c>
      <c r="CB21" s="242">
        <f t="shared" si="2"/>
        <v>1316370</v>
      </c>
    </row>
    <row r="22" spans="1:80" s="264" customFormat="1" ht="14.25" thickBot="1" thickTop="1">
      <c r="A22" s="268"/>
      <c r="B22" s="267"/>
      <c r="C22" s="238">
        <f>SUM(C12:C21)</f>
        <v>240966.91666666666</v>
      </c>
      <c r="D22" s="266"/>
      <c r="E22" s="238">
        <f>SUM(E12:E21)</f>
        <v>39297729</v>
      </c>
      <c r="F22" s="265">
        <f>SUM(F11:F21)</f>
        <v>0</v>
      </c>
      <c r="G22" s="265"/>
      <c r="H22" s="265">
        <f>SUM(H12:H21)</f>
        <v>0</v>
      </c>
      <c r="I22" s="265">
        <f>SUM(I11:I21)</f>
        <v>109000</v>
      </c>
      <c r="J22" s="265"/>
      <c r="K22" s="265">
        <f>SUM(K12:K21)</f>
        <v>33625848</v>
      </c>
      <c r="L22" s="238">
        <f>SUM(L11:L21)</f>
        <v>12312621.053333333</v>
      </c>
      <c r="M22" s="265"/>
      <c r="N22" s="265">
        <f>SUM(N11:N21)</f>
        <v>1410000</v>
      </c>
      <c r="O22" s="265"/>
      <c r="P22" s="265">
        <f>SUM(P11:P21)</f>
        <v>38677638.33333333</v>
      </c>
      <c r="Q22" s="265"/>
      <c r="R22" s="238">
        <f>SUM(R11:R21)</f>
        <v>18495318.58</v>
      </c>
      <c r="S22" s="265"/>
      <c r="T22" s="265">
        <f>SUM(T11:T21)</f>
        <v>3370000</v>
      </c>
      <c r="U22" s="265"/>
      <c r="V22" s="265">
        <f>SUM(V11:V21)</f>
        <v>39692930</v>
      </c>
      <c r="W22" s="265"/>
      <c r="X22" s="238">
        <f>SUM(X11:X21)</f>
        <v>24226629.106666666</v>
      </c>
      <c r="Y22" s="265"/>
      <c r="Z22" s="265">
        <f>SUM(Z11:Z21)</f>
        <v>6515250</v>
      </c>
      <c r="AA22" s="265"/>
      <c r="AB22" s="265">
        <f>SUM(AB11:AB21)</f>
        <v>42471471.66666667</v>
      </c>
      <c r="AC22" s="265"/>
      <c r="AD22" s="238">
        <f>SUM(AD11:AD21)</f>
        <v>29957939.63333333</v>
      </c>
      <c r="AE22" s="265"/>
      <c r="AF22" s="265">
        <f>SUM(AF11:AF21)</f>
        <v>9680250</v>
      </c>
      <c r="AG22" s="265"/>
      <c r="AH22" s="265">
        <f>SUM(AH11:AH21)</f>
        <v>69786707.33333333</v>
      </c>
      <c r="AI22" s="265"/>
      <c r="AJ22" s="238">
        <f>SUM(AJ11:AJ21)</f>
        <v>35689250.16</v>
      </c>
      <c r="AK22" s="265"/>
      <c r="AL22" s="265">
        <f>SUM(AL11:AL21)</f>
        <v>15127750</v>
      </c>
      <c r="AM22" s="265"/>
      <c r="AN22" s="265">
        <f>SUM(AN11:AN21)</f>
        <v>70805184</v>
      </c>
      <c r="AO22" s="265"/>
      <c r="AP22" s="238">
        <f>SUM(AP11:AP21)</f>
        <v>41647441.61366666</v>
      </c>
      <c r="AQ22" s="265"/>
      <c r="AR22" s="265">
        <f>SUM(AR11:AR21)</f>
        <v>18077750</v>
      </c>
      <c r="AS22" s="265"/>
      <c r="AT22" s="265">
        <f>SUM(AT11:AT21)</f>
        <v>73586410.66666667</v>
      </c>
      <c r="AU22" s="265"/>
      <c r="AV22" s="238">
        <f>SUM(AV11:AV21)</f>
        <v>47411163.70133333</v>
      </c>
      <c r="AW22" s="265"/>
      <c r="AX22" s="265">
        <f>SUM(AX11:AX21)</f>
        <v>18647750</v>
      </c>
      <c r="AY22" s="265"/>
      <c r="AZ22" s="265">
        <f>SUM(AZ11:AZ21)</f>
        <v>74602202.33333333</v>
      </c>
      <c r="BA22" s="265"/>
      <c r="BB22" s="238">
        <f>SUM(BB11:BB21)</f>
        <v>53174885.789000005</v>
      </c>
      <c r="BC22" s="265"/>
      <c r="BD22" s="265">
        <f>SUM(BD11:BD21)</f>
        <v>21922750</v>
      </c>
      <c r="BE22" s="265"/>
      <c r="BF22" s="265">
        <f>SUM(BF11:BF21)</f>
        <v>95167577</v>
      </c>
      <c r="BG22" s="265"/>
      <c r="BH22" s="238">
        <f>SUM(BH11:BH21)</f>
        <v>58938607.87666666</v>
      </c>
      <c r="BI22" s="265"/>
      <c r="BJ22" s="265">
        <f>SUM(BJ11:BJ21)</f>
        <v>22142750</v>
      </c>
      <c r="BK22" s="265"/>
      <c r="BL22" s="265">
        <f>SUM(BL11:BL21)</f>
        <v>97845618.66666666</v>
      </c>
      <c r="BM22" s="265"/>
      <c r="BN22" s="238">
        <f>SUM(BN11:BN21)</f>
        <v>65055073.96433333</v>
      </c>
      <c r="BO22" s="265"/>
      <c r="BP22" s="265">
        <f>SUM(BP11:BP21)</f>
        <v>26905000</v>
      </c>
      <c r="BQ22" s="265"/>
      <c r="BR22" s="265">
        <f>SUM(BR11:BR21)</f>
        <v>98660910.33333334</v>
      </c>
      <c r="BS22" s="265"/>
      <c r="BT22" s="238">
        <f>SUM(BT11:BT21)</f>
        <v>70818796.052</v>
      </c>
      <c r="BU22" s="265"/>
      <c r="BV22" s="265">
        <f>SUM(BV11:BV21)</f>
        <v>29305000</v>
      </c>
      <c r="BW22" s="265"/>
      <c r="BX22" s="265">
        <f>SUM(BX11:BX21)</f>
        <v>99376202</v>
      </c>
      <c r="BY22" s="265"/>
      <c r="BZ22" s="265">
        <f>SUM(BZ11:BZ21)</f>
        <v>70818796.052</v>
      </c>
      <c r="CA22" s="238">
        <f>SUM(CA11:CA21)</f>
        <v>29305000</v>
      </c>
      <c r="CB22" s="237">
        <f>SUM(CB11:CB21)</f>
        <v>99376202</v>
      </c>
    </row>
    <row r="23" spans="1:80" s="260" customFormat="1" ht="15" thickBot="1" thickTop="1">
      <c r="A23" s="263"/>
      <c r="B23" s="262"/>
      <c r="C23" s="396">
        <f>C22+F22</f>
        <v>240966.91666666666</v>
      </c>
      <c r="D23" s="399"/>
      <c r="E23" s="399"/>
      <c r="F23" s="398"/>
      <c r="G23" s="261"/>
      <c r="H23" s="261"/>
      <c r="I23" s="238">
        <f>I44</f>
        <v>37562346.666666664</v>
      </c>
      <c r="J23" s="261"/>
      <c r="K23" s="287"/>
      <c r="L23" s="396">
        <f>L22+N22</f>
        <v>13722621.053333333</v>
      </c>
      <c r="M23" s="397"/>
      <c r="N23" s="398"/>
      <c r="O23" s="261"/>
      <c r="P23" s="238">
        <f>P44</f>
        <v>38677638.333333336</v>
      </c>
      <c r="Q23" s="261"/>
      <c r="R23" s="396">
        <f>R22+T22</f>
        <v>21865318.58</v>
      </c>
      <c r="S23" s="397"/>
      <c r="T23" s="398"/>
      <c r="U23" s="261"/>
      <c r="V23" s="238">
        <f>V44</f>
        <v>39692930</v>
      </c>
      <c r="W23" s="261"/>
      <c r="X23" s="396">
        <f>X22+Z22</f>
        <v>30741879.106666666</v>
      </c>
      <c r="Y23" s="397"/>
      <c r="Z23" s="398"/>
      <c r="AA23" s="261"/>
      <c r="AB23" s="238">
        <f>AB44</f>
        <v>42471471.666666664</v>
      </c>
      <c r="AC23" s="261"/>
      <c r="AD23" s="396">
        <f>AD22+AF22</f>
        <v>39638189.633333325</v>
      </c>
      <c r="AE23" s="397"/>
      <c r="AF23" s="398"/>
      <c r="AG23" s="261"/>
      <c r="AH23" s="238">
        <f>AH44</f>
        <v>69786707.33333334</v>
      </c>
      <c r="AI23" s="261"/>
      <c r="AJ23" s="396">
        <f>AJ22+AL22</f>
        <v>50817000.16</v>
      </c>
      <c r="AK23" s="397"/>
      <c r="AL23" s="398"/>
      <c r="AM23" s="261"/>
      <c r="AN23" s="238">
        <f>AN44</f>
        <v>70805184</v>
      </c>
      <c r="AO23" s="261"/>
      <c r="AP23" s="396">
        <f>AP22+AR22</f>
        <v>59725191.61366666</v>
      </c>
      <c r="AQ23" s="397"/>
      <c r="AR23" s="398"/>
      <c r="AS23" s="261"/>
      <c r="AT23" s="238">
        <f>AT44</f>
        <v>73586410.66666666</v>
      </c>
      <c r="AU23" s="261"/>
      <c r="AV23" s="396">
        <f>AV22+AX22</f>
        <v>66058913.70133333</v>
      </c>
      <c r="AW23" s="397"/>
      <c r="AX23" s="398"/>
      <c r="AY23" s="261"/>
      <c r="AZ23" s="238">
        <f>AZ44</f>
        <v>74602202.33333333</v>
      </c>
      <c r="BA23" s="261"/>
      <c r="BB23" s="396">
        <f>BB22+BD22</f>
        <v>75097635.789</v>
      </c>
      <c r="BC23" s="397"/>
      <c r="BD23" s="398"/>
      <c r="BE23" s="261"/>
      <c r="BF23" s="238">
        <f>BF44</f>
        <v>95167577</v>
      </c>
      <c r="BG23" s="261"/>
      <c r="BH23" s="396">
        <f>BH22+BJ22</f>
        <v>81081357.87666667</v>
      </c>
      <c r="BI23" s="397"/>
      <c r="BJ23" s="398"/>
      <c r="BK23" s="261"/>
      <c r="BL23" s="238">
        <f>BL44</f>
        <v>97845618.66666667</v>
      </c>
      <c r="BM23" s="261"/>
      <c r="BN23" s="396">
        <f>BN22+BP22</f>
        <v>91960073.96433333</v>
      </c>
      <c r="BO23" s="397"/>
      <c r="BP23" s="398"/>
      <c r="BQ23" s="261"/>
      <c r="BR23" s="238">
        <f>BR44</f>
        <v>98660910.33333333</v>
      </c>
      <c r="BS23" s="261"/>
      <c r="BT23" s="396">
        <f>BT22+BV22</f>
        <v>100123796.052</v>
      </c>
      <c r="BU23" s="397"/>
      <c r="BV23" s="398"/>
      <c r="BW23" s="261"/>
      <c r="BX23" s="238">
        <f>BX44</f>
        <v>99376202</v>
      </c>
      <c r="BY23" s="261"/>
      <c r="BZ23" s="396">
        <f>BZ22+CA22</f>
        <v>100123796.052</v>
      </c>
      <c r="CA23" s="398"/>
      <c r="CB23" s="238">
        <f>CB44</f>
        <v>99376202</v>
      </c>
    </row>
    <row r="24" spans="1:80" s="236" customFormat="1" ht="14.25" thickBot="1" thickTop="1">
      <c r="A24" s="241"/>
      <c r="B24" s="259"/>
      <c r="C24" s="389" t="s">
        <v>65</v>
      </c>
      <c r="D24" s="390"/>
      <c r="E24" s="390"/>
      <c r="F24" s="390"/>
      <c r="G24" s="390"/>
      <c r="H24" s="390"/>
      <c r="I24" s="390"/>
      <c r="J24" s="391"/>
      <c r="K24" s="285"/>
      <c r="L24" s="395" t="s">
        <v>66</v>
      </c>
      <c r="M24" s="395"/>
      <c r="N24" s="395"/>
      <c r="O24" s="395"/>
      <c r="P24" s="395"/>
      <c r="Q24" s="395"/>
      <c r="R24" s="395" t="s">
        <v>67</v>
      </c>
      <c r="S24" s="395"/>
      <c r="T24" s="395"/>
      <c r="U24" s="395"/>
      <c r="V24" s="395"/>
      <c r="W24" s="395"/>
      <c r="X24" s="389" t="s">
        <v>68</v>
      </c>
      <c r="Y24" s="390"/>
      <c r="Z24" s="390"/>
      <c r="AA24" s="390"/>
      <c r="AB24" s="390"/>
      <c r="AC24" s="391"/>
      <c r="AD24" s="389" t="s">
        <v>69</v>
      </c>
      <c r="AE24" s="390"/>
      <c r="AF24" s="390"/>
      <c r="AG24" s="390"/>
      <c r="AH24" s="390"/>
      <c r="AI24" s="391"/>
      <c r="AJ24" s="389" t="s">
        <v>70</v>
      </c>
      <c r="AK24" s="390"/>
      <c r="AL24" s="390"/>
      <c r="AM24" s="390"/>
      <c r="AN24" s="390"/>
      <c r="AO24" s="391"/>
      <c r="AP24" s="389" t="s">
        <v>71</v>
      </c>
      <c r="AQ24" s="390"/>
      <c r="AR24" s="390"/>
      <c r="AS24" s="390"/>
      <c r="AT24" s="390"/>
      <c r="AU24" s="391"/>
      <c r="AV24" s="389" t="s">
        <v>72</v>
      </c>
      <c r="AW24" s="390"/>
      <c r="AX24" s="390"/>
      <c r="AY24" s="390"/>
      <c r="AZ24" s="390"/>
      <c r="BA24" s="391"/>
      <c r="BB24" s="389" t="s">
        <v>73</v>
      </c>
      <c r="BC24" s="390"/>
      <c r="BD24" s="390"/>
      <c r="BE24" s="390"/>
      <c r="BF24" s="390"/>
      <c r="BG24" s="391"/>
      <c r="BH24" s="389" t="s">
        <v>74</v>
      </c>
      <c r="BI24" s="390"/>
      <c r="BJ24" s="390"/>
      <c r="BK24" s="390"/>
      <c r="BL24" s="390"/>
      <c r="BM24" s="391"/>
      <c r="BN24" s="389" t="s">
        <v>75</v>
      </c>
      <c r="BO24" s="390"/>
      <c r="BP24" s="390"/>
      <c r="BQ24" s="390"/>
      <c r="BR24" s="390"/>
      <c r="BS24" s="391"/>
      <c r="BT24" s="389" t="s">
        <v>76</v>
      </c>
      <c r="BU24" s="390"/>
      <c r="BV24" s="390"/>
      <c r="BW24" s="390"/>
      <c r="BX24" s="390"/>
      <c r="BY24" s="391"/>
      <c r="BZ24" s="389" t="s">
        <v>103</v>
      </c>
      <c r="CA24" s="390"/>
      <c r="CB24" s="391"/>
    </row>
    <row r="25" spans="1:80" s="236" customFormat="1" ht="14.25" thickBot="1" thickTop="1">
      <c r="A25" s="241"/>
      <c r="B25" s="240"/>
      <c r="C25" s="389">
        <v>2008</v>
      </c>
      <c r="D25" s="390"/>
      <c r="E25" s="390"/>
      <c r="F25" s="390"/>
      <c r="G25" s="390"/>
      <c r="H25" s="390"/>
      <c r="I25" s="390"/>
      <c r="J25" s="391"/>
      <c r="K25" s="285"/>
      <c r="L25" s="395">
        <v>2008</v>
      </c>
      <c r="M25" s="395"/>
      <c r="N25" s="395"/>
      <c r="O25" s="395"/>
      <c r="P25" s="395"/>
      <c r="Q25" s="395"/>
      <c r="R25" s="395">
        <v>2008</v>
      </c>
      <c r="S25" s="395"/>
      <c r="T25" s="395"/>
      <c r="U25" s="395"/>
      <c r="V25" s="395"/>
      <c r="W25" s="395"/>
      <c r="X25" s="395">
        <v>2008</v>
      </c>
      <c r="Y25" s="395"/>
      <c r="Z25" s="395"/>
      <c r="AA25" s="395"/>
      <c r="AB25" s="395"/>
      <c r="AC25" s="395"/>
      <c r="AD25" s="395">
        <v>2008</v>
      </c>
      <c r="AE25" s="395"/>
      <c r="AF25" s="395"/>
      <c r="AG25" s="395"/>
      <c r="AH25" s="395"/>
      <c r="AI25" s="395"/>
      <c r="AJ25" s="395">
        <v>2008</v>
      </c>
      <c r="AK25" s="395"/>
      <c r="AL25" s="395"/>
      <c r="AM25" s="395"/>
      <c r="AN25" s="395"/>
      <c r="AO25" s="395"/>
      <c r="AP25" s="389">
        <v>2009</v>
      </c>
      <c r="AQ25" s="390"/>
      <c r="AR25" s="390"/>
      <c r="AS25" s="390"/>
      <c r="AT25" s="390"/>
      <c r="AU25" s="391"/>
      <c r="AV25" s="389">
        <v>2009</v>
      </c>
      <c r="AW25" s="390"/>
      <c r="AX25" s="390"/>
      <c r="AY25" s="390"/>
      <c r="AZ25" s="390"/>
      <c r="BA25" s="391"/>
      <c r="BB25" s="389">
        <v>2009</v>
      </c>
      <c r="BC25" s="390"/>
      <c r="BD25" s="390"/>
      <c r="BE25" s="390"/>
      <c r="BF25" s="390"/>
      <c r="BG25" s="391"/>
      <c r="BH25" s="389">
        <v>2009</v>
      </c>
      <c r="BI25" s="390"/>
      <c r="BJ25" s="390"/>
      <c r="BK25" s="390"/>
      <c r="BL25" s="390"/>
      <c r="BM25" s="391"/>
      <c r="BN25" s="389">
        <v>2009</v>
      </c>
      <c r="BO25" s="390"/>
      <c r="BP25" s="390"/>
      <c r="BQ25" s="390"/>
      <c r="BR25" s="390"/>
      <c r="BS25" s="391"/>
      <c r="BT25" s="389">
        <v>2009</v>
      </c>
      <c r="BU25" s="390"/>
      <c r="BV25" s="390"/>
      <c r="BW25" s="390"/>
      <c r="BX25" s="390"/>
      <c r="BY25" s="391"/>
      <c r="BZ25" s="258"/>
      <c r="CA25" s="257" t="s">
        <v>78</v>
      </c>
      <c r="CB25" s="257"/>
    </row>
    <row r="26" spans="1:80" s="236" customFormat="1" ht="14.25" thickBot="1" thickTop="1">
      <c r="A26" s="241"/>
      <c r="B26" s="240"/>
      <c r="C26" s="255"/>
      <c r="D26" s="255"/>
      <c r="E26" s="255"/>
      <c r="F26" s="255"/>
      <c r="G26" s="255"/>
      <c r="H26" s="255"/>
      <c r="I26" s="255" t="s">
        <v>83</v>
      </c>
      <c r="J26" s="255" t="s">
        <v>84</v>
      </c>
      <c r="K26" s="255"/>
      <c r="L26" s="255"/>
      <c r="M26" s="255"/>
      <c r="N26" s="255"/>
      <c r="O26" s="255"/>
      <c r="P26" s="255" t="s">
        <v>83</v>
      </c>
      <c r="Q26" s="255" t="s">
        <v>84</v>
      </c>
      <c r="R26" s="255"/>
      <c r="S26" s="255"/>
      <c r="T26" s="255"/>
      <c r="U26" s="255"/>
      <c r="V26" s="255" t="s">
        <v>83</v>
      </c>
      <c r="W26" s="255" t="s">
        <v>84</v>
      </c>
      <c r="X26" s="255" t="s">
        <v>79</v>
      </c>
      <c r="Y26" s="255" t="s">
        <v>80</v>
      </c>
      <c r="Z26" s="255" t="s">
        <v>104</v>
      </c>
      <c r="AA26" s="255" t="s">
        <v>82</v>
      </c>
      <c r="AB26" s="255" t="s">
        <v>83</v>
      </c>
      <c r="AC26" s="255" t="s">
        <v>84</v>
      </c>
      <c r="AD26" s="255" t="s">
        <v>79</v>
      </c>
      <c r="AE26" s="255" t="s">
        <v>80</v>
      </c>
      <c r="AF26" s="255" t="s">
        <v>104</v>
      </c>
      <c r="AG26" s="255" t="s">
        <v>82</v>
      </c>
      <c r="AH26" s="255" t="s">
        <v>83</v>
      </c>
      <c r="AI26" s="255" t="s">
        <v>84</v>
      </c>
      <c r="AJ26" s="255" t="s">
        <v>79</v>
      </c>
      <c r="AK26" s="255" t="s">
        <v>80</v>
      </c>
      <c r="AL26" s="255" t="s">
        <v>104</v>
      </c>
      <c r="AM26" s="255" t="s">
        <v>82</v>
      </c>
      <c r="AN26" s="255" t="s">
        <v>83</v>
      </c>
      <c r="AO26" s="255" t="s">
        <v>84</v>
      </c>
      <c r="AP26" s="255" t="s">
        <v>79</v>
      </c>
      <c r="AQ26" s="255" t="s">
        <v>80</v>
      </c>
      <c r="AR26" s="255" t="s">
        <v>104</v>
      </c>
      <c r="AS26" s="255" t="s">
        <v>82</v>
      </c>
      <c r="AT26" s="255" t="s">
        <v>83</v>
      </c>
      <c r="AU26" s="255" t="s">
        <v>84</v>
      </c>
      <c r="AV26" s="255" t="s">
        <v>79</v>
      </c>
      <c r="AW26" s="255" t="s">
        <v>80</v>
      </c>
      <c r="AX26" s="255" t="s">
        <v>104</v>
      </c>
      <c r="AY26" s="255" t="s">
        <v>82</v>
      </c>
      <c r="AZ26" s="255" t="s">
        <v>83</v>
      </c>
      <c r="BA26" s="255" t="s">
        <v>84</v>
      </c>
      <c r="BB26" s="255" t="s">
        <v>79</v>
      </c>
      <c r="BC26" s="255" t="s">
        <v>80</v>
      </c>
      <c r="BD26" s="255" t="s">
        <v>104</v>
      </c>
      <c r="BE26" s="255" t="s">
        <v>82</v>
      </c>
      <c r="BF26" s="255" t="s">
        <v>83</v>
      </c>
      <c r="BG26" s="255" t="s">
        <v>84</v>
      </c>
      <c r="BH26" s="255" t="s">
        <v>79</v>
      </c>
      <c r="BI26" s="255" t="s">
        <v>80</v>
      </c>
      <c r="BJ26" s="255" t="s">
        <v>104</v>
      </c>
      <c r="BK26" s="255" t="s">
        <v>82</v>
      </c>
      <c r="BL26" s="255" t="s">
        <v>83</v>
      </c>
      <c r="BM26" s="255" t="s">
        <v>84</v>
      </c>
      <c r="BN26" s="255" t="s">
        <v>79</v>
      </c>
      <c r="BO26" s="255" t="s">
        <v>80</v>
      </c>
      <c r="BP26" s="255" t="s">
        <v>104</v>
      </c>
      <c r="BQ26" s="255" t="s">
        <v>82</v>
      </c>
      <c r="BR26" s="255" t="s">
        <v>83</v>
      </c>
      <c r="BS26" s="255" t="s">
        <v>84</v>
      </c>
      <c r="BT26" s="255" t="s">
        <v>79</v>
      </c>
      <c r="BU26" s="255" t="s">
        <v>80</v>
      </c>
      <c r="BV26" s="255" t="s">
        <v>104</v>
      </c>
      <c r="BW26" s="255" t="s">
        <v>82</v>
      </c>
      <c r="BX26" s="255" t="s">
        <v>83</v>
      </c>
      <c r="BY26" s="255" t="s">
        <v>84</v>
      </c>
      <c r="BZ26" s="256" t="s">
        <v>85</v>
      </c>
      <c r="CA26" s="255" t="s">
        <v>105</v>
      </c>
      <c r="CB26" s="255" t="s">
        <v>87</v>
      </c>
    </row>
    <row r="27" spans="1:84" s="252" customFormat="1" ht="15" thickBot="1" thickTop="1">
      <c r="A27" s="245" t="s">
        <v>88</v>
      </c>
      <c r="B27" s="244"/>
      <c r="C27" s="254"/>
      <c r="D27" s="254"/>
      <c r="E27" s="254"/>
      <c r="F27" s="254"/>
      <c r="G27" s="254"/>
      <c r="H27" s="254"/>
      <c r="I27" s="254" t="s">
        <v>90</v>
      </c>
      <c r="J27" s="254" t="s">
        <v>90</v>
      </c>
      <c r="K27" s="254"/>
      <c r="L27" s="254"/>
      <c r="M27" s="254"/>
      <c r="N27" s="254"/>
      <c r="O27" s="254"/>
      <c r="P27" s="254" t="s">
        <v>90</v>
      </c>
      <c r="Q27" s="254" t="s">
        <v>90</v>
      </c>
      <c r="R27" s="254"/>
      <c r="S27" s="254"/>
      <c r="T27" s="254"/>
      <c r="U27" s="254"/>
      <c r="V27" s="254" t="s">
        <v>90</v>
      </c>
      <c r="W27" s="254" t="s">
        <v>90</v>
      </c>
      <c r="X27" s="254" t="s">
        <v>90</v>
      </c>
      <c r="Y27" s="254" t="s">
        <v>90</v>
      </c>
      <c r="Z27" s="254" t="s">
        <v>90</v>
      </c>
      <c r="AA27" s="254" t="s">
        <v>90</v>
      </c>
      <c r="AB27" s="254" t="s">
        <v>90</v>
      </c>
      <c r="AC27" s="254" t="s">
        <v>90</v>
      </c>
      <c r="AD27" s="254" t="s">
        <v>90</v>
      </c>
      <c r="AE27" s="254" t="s">
        <v>90</v>
      </c>
      <c r="AF27" s="254" t="s">
        <v>90</v>
      </c>
      <c r="AG27" s="254" t="s">
        <v>90</v>
      </c>
      <c r="AH27" s="254" t="s">
        <v>90</v>
      </c>
      <c r="AI27" s="254" t="s">
        <v>90</v>
      </c>
      <c r="AJ27" s="254" t="s">
        <v>90</v>
      </c>
      <c r="AK27" s="254" t="s">
        <v>90</v>
      </c>
      <c r="AL27" s="254" t="s">
        <v>90</v>
      </c>
      <c r="AM27" s="254" t="s">
        <v>90</v>
      </c>
      <c r="AN27" s="254" t="s">
        <v>90</v>
      </c>
      <c r="AO27" s="254" t="s">
        <v>90</v>
      </c>
      <c r="AP27" s="254" t="s">
        <v>90</v>
      </c>
      <c r="AQ27" s="254" t="s">
        <v>90</v>
      </c>
      <c r="AR27" s="254" t="s">
        <v>90</v>
      </c>
      <c r="AS27" s="254" t="s">
        <v>90</v>
      </c>
      <c r="AT27" s="254" t="s">
        <v>90</v>
      </c>
      <c r="AU27" s="254" t="s">
        <v>90</v>
      </c>
      <c r="AV27" s="254" t="s">
        <v>90</v>
      </c>
      <c r="AW27" s="254" t="s">
        <v>90</v>
      </c>
      <c r="AX27" s="254" t="s">
        <v>90</v>
      </c>
      <c r="AY27" s="254" t="s">
        <v>90</v>
      </c>
      <c r="AZ27" s="254" t="s">
        <v>90</v>
      </c>
      <c r="BA27" s="254" t="s">
        <v>90</v>
      </c>
      <c r="BB27" s="254" t="s">
        <v>90</v>
      </c>
      <c r="BC27" s="254" t="s">
        <v>90</v>
      </c>
      <c r="BD27" s="254" t="s">
        <v>90</v>
      </c>
      <c r="BE27" s="254" t="s">
        <v>90</v>
      </c>
      <c r="BF27" s="254" t="s">
        <v>90</v>
      </c>
      <c r="BG27" s="254" t="s">
        <v>90</v>
      </c>
      <c r="BH27" s="254" t="s">
        <v>90</v>
      </c>
      <c r="BI27" s="254" t="s">
        <v>90</v>
      </c>
      <c r="BJ27" s="254" t="s">
        <v>90</v>
      </c>
      <c r="BK27" s="254" t="s">
        <v>90</v>
      </c>
      <c r="BL27" s="254" t="s">
        <v>90</v>
      </c>
      <c r="BM27" s="254" t="s">
        <v>90</v>
      </c>
      <c r="BN27" s="254" t="s">
        <v>90</v>
      </c>
      <c r="BO27" s="254" t="s">
        <v>90</v>
      </c>
      <c r="BP27" s="254" t="s">
        <v>90</v>
      </c>
      <c r="BQ27" s="254" t="s">
        <v>90</v>
      </c>
      <c r="BR27" s="254" t="s">
        <v>90</v>
      </c>
      <c r="BS27" s="254" t="s">
        <v>90</v>
      </c>
      <c r="BT27" s="254" t="s">
        <v>90</v>
      </c>
      <c r="BU27" s="254" t="s">
        <v>90</v>
      </c>
      <c r="BV27" s="254" t="s">
        <v>90</v>
      </c>
      <c r="BW27" s="254" t="s">
        <v>90</v>
      </c>
      <c r="BX27" s="254" t="s">
        <v>90</v>
      </c>
      <c r="BY27" s="254" t="s">
        <v>90</v>
      </c>
      <c r="BZ27" s="242" t="s">
        <v>90</v>
      </c>
      <c r="CA27" s="254" t="s">
        <v>91</v>
      </c>
      <c r="CB27" s="254" t="s">
        <v>91</v>
      </c>
      <c r="CC27" s="253"/>
      <c r="CD27" s="253"/>
      <c r="CE27" s="253"/>
      <c r="CF27" s="253"/>
    </row>
    <row r="28" spans="1:84" s="252" customFormat="1" ht="14.25" thickBot="1" thickTop="1">
      <c r="A28" s="245" t="s">
        <v>101</v>
      </c>
      <c r="B28" s="244"/>
      <c r="C28" s="242"/>
      <c r="D28" s="242"/>
      <c r="E28" s="242"/>
      <c r="F28" s="242"/>
      <c r="G28" s="242"/>
      <c r="H28" s="242"/>
      <c r="I28" s="242">
        <v>109000</v>
      </c>
      <c r="J28" s="242"/>
      <c r="K28" s="242">
        <f>REV!D33</f>
        <v>375654</v>
      </c>
      <c r="L28" s="242"/>
      <c r="M28" s="242"/>
      <c r="N28" s="242"/>
      <c r="O28" s="242"/>
      <c r="P28" s="242">
        <f>I28+109000</f>
        <v>218000</v>
      </c>
      <c r="Q28" s="242"/>
      <c r="R28" s="242"/>
      <c r="S28" s="242"/>
      <c r="T28" s="242"/>
      <c r="U28" s="242"/>
      <c r="V28" s="242">
        <f>P28+109000</f>
        <v>327000</v>
      </c>
      <c r="W28" s="242"/>
      <c r="X28" s="242"/>
      <c r="Y28" s="242"/>
      <c r="Z28" s="242"/>
      <c r="AA28" s="242"/>
      <c r="AB28" s="242">
        <f>V28+109500</f>
        <v>436500</v>
      </c>
      <c r="AC28" s="242"/>
      <c r="AD28" s="242"/>
      <c r="AE28" s="242"/>
      <c r="AF28" s="242"/>
      <c r="AG28" s="242"/>
      <c r="AH28" s="242">
        <f>AB28+109500</f>
        <v>546000</v>
      </c>
      <c r="AI28" s="242"/>
      <c r="AJ28" s="242"/>
      <c r="AK28" s="242"/>
      <c r="AL28" s="242"/>
      <c r="AM28" s="242"/>
      <c r="AN28" s="242">
        <f>AH28+112185</f>
        <v>658185</v>
      </c>
      <c r="AO28" s="242"/>
      <c r="AP28" s="242"/>
      <c r="AQ28" s="242"/>
      <c r="AR28" s="242"/>
      <c r="AS28" s="242"/>
      <c r="AT28" s="242">
        <f>AN28+112185</f>
        <v>770370</v>
      </c>
      <c r="AU28" s="242"/>
      <c r="AV28" s="242"/>
      <c r="AW28" s="242"/>
      <c r="AX28" s="242"/>
      <c r="AY28" s="242"/>
      <c r="AZ28" s="242">
        <f>AT28+109500</f>
        <v>879870</v>
      </c>
      <c r="BA28" s="242"/>
      <c r="BB28" s="242"/>
      <c r="BC28" s="242"/>
      <c r="BD28" s="242"/>
      <c r="BE28" s="242"/>
      <c r="BF28" s="242">
        <f>AZ28+109500</f>
        <v>989370</v>
      </c>
      <c r="BG28" s="242"/>
      <c r="BH28" s="242"/>
      <c r="BI28" s="242"/>
      <c r="BJ28" s="242"/>
      <c r="BK28" s="242"/>
      <c r="BL28" s="242">
        <f>BF28+109000</f>
        <v>1098370</v>
      </c>
      <c r="BM28" s="242"/>
      <c r="BN28" s="242"/>
      <c r="BO28" s="242"/>
      <c r="BP28" s="242"/>
      <c r="BQ28" s="242"/>
      <c r="BR28" s="242">
        <f>BL28+109000</f>
        <v>1207370</v>
      </c>
      <c r="BS28" s="242"/>
      <c r="BT28" s="242"/>
      <c r="BU28" s="242"/>
      <c r="BV28" s="242"/>
      <c r="BW28" s="242"/>
      <c r="BX28" s="242">
        <f>BR28+109000</f>
        <v>1316370</v>
      </c>
      <c r="BY28" s="242"/>
      <c r="BZ28" s="242"/>
      <c r="CA28" s="242"/>
      <c r="CB28" s="242">
        <f aca="true" t="shared" si="3" ref="CB28:CB43">BX28</f>
        <v>1316370</v>
      </c>
      <c r="CC28" s="236"/>
      <c r="CD28" s="236"/>
      <c r="CE28" s="236"/>
      <c r="CF28" s="236"/>
    </row>
    <row r="29" spans="1:84" s="252" customFormat="1" ht="14.25" thickBot="1" thickTop="1">
      <c r="A29" s="245" t="s">
        <v>93</v>
      </c>
      <c r="B29" s="244"/>
      <c r="C29" s="243"/>
      <c r="D29" s="243"/>
      <c r="E29" s="243"/>
      <c r="F29" s="243"/>
      <c r="G29" s="243"/>
      <c r="H29" s="243"/>
      <c r="I29" s="243">
        <v>1100000</v>
      </c>
      <c r="J29" s="243"/>
      <c r="K29" s="242">
        <f>REV!D31+REV!D32</f>
        <v>2643712</v>
      </c>
      <c r="L29" s="243"/>
      <c r="M29" s="243"/>
      <c r="N29" s="243"/>
      <c r="O29" s="243"/>
      <c r="P29" s="243">
        <f>I29+1000000</f>
        <v>2100000</v>
      </c>
      <c r="Q29" s="243"/>
      <c r="R29" s="243"/>
      <c r="S29" s="243"/>
      <c r="T29" s="243"/>
      <c r="U29" s="243"/>
      <c r="V29" s="243">
        <f>P29+900000</f>
        <v>3000000</v>
      </c>
      <c r="W29" s="243"/>
      <c r="X29" s="243"/>
      <c r="Y29" s="243"/>
      <c r="Z29" s="243"/>
      <c r="AA29" s="243"/>
      <c r="AB29" s="243">
        <f>V29+800000</f>
        <v>3800000</v>
      </c>
      <c r="AC29" s="243"/>
      <c r="AD29" s="243"/>
      <c r="AE29" s="243"/>
      <c r="AF29" s="243"/>
      <c r="AG29" s="243"/>
      <c r="AH29" s="243">
        <f>AB29+1000000</f>
        <v>4800000</v>
      </c>
      <c r="AI29" s="243"/>
      <c r="AJ29" s="243"/>
      <c r="AK29" s="243"/>
      <c r="AL29" s="247"/>
      <c r="AM29" s="247"/>
      <c r="AN29" s="243">
        <f>AH29+900000</f>
        <v>5700000</v>
      </c>
      <c r="AO29" s="243"/>
      <c r="AP29" s="243"/>
      <c r="AQ29" s="243"/>
      <c r="AR29" s="243"/>
      <c r="AS29" s="243"/>
      <c r="AT29" s="243">
        <f>AN29+800000</f>
        <v>6500000</v>
      </c>
      <c r="AU29" s="243"/>
      <c r="AV29" s="243"/>
      <c r="AW29" s="243"/>
      <c r="AX29" s="243"/>
      <c r="AY29" s="248"/>
      <c r="AZ29" s="243">
        <f>AT29+900000</f>
        <v>7400000</v>
      </c>
      <c r="BA29" s="243"/>
      <c r="BB29" s="243"/>
      <c r="BC29" s="243"/>
      <c r="BD29" s="243"/>
      <c r="BE29" s="243"/>
      <c r="BF29" s="243">
        <f>AZ29+800000</f>
        <v>8200000</v>
      </c>
      <c r="BG29" s="243"/>
      <c r="BH29" s="243"/>
      <c r="BI29" s="243"/>
      <c r="BJ29" s="243"/>
      <c r="BK29" s="243"/>
      <c r="BL29" s="243">
        <f>BF29+700000</f>
        <v>8900000</v>
      </c>
      <c r="BM29" s="243"/>
      <c r="BN29" s="243"/>
      <c r="BO29" s="243"/>
      <c r="BP29" s="243"/>
      <c r="BQ29" s="243"/>
      <c r="BR29" s="243">
        <f>BL29+700000</f>
        <v>9600000</v>
      </c>
      <c r="BS29" s="243"/>
      <c r="BT29" s="243"/>
      <c r="BU29" s="243"/>
      <c r="BV29" s="243"/>
      <c r="BW29" s="243"/>
      <c r="BX29" s="243">
        <f>BR29+600000</f>
        <v>10200000</v>
      </c>
      <c r="BY29" s="243"/>
      <c r="BZ29" s="243"/>
      <c r="CA29" s="243"/>
      <c r="CB29" s="242">
        <f t="shared" si="3"/>
        <v>10200000</v>
      </c>
      <c r="CC29" s="236"/>
      <c r="CD29" s="236"/>
      <c r="CE29" s="236"/>
      <c r="CF29" s="236"/>
    </row>
    <row r="30" spans="1:84" ht="15" hidden="1" thickBot="1" thickTop="1">
      <c r="A30" s="245" t="s">
        <v>101</v>
      </c>
      <c r="B30" s="244"/>
      <c r="C30" s="243"/>
      <c r="D30" s="251"/>
      <c r="E30" s="251"/>
      <c r="F30" s="243"/>
      <c r="G30" s="243"/>
      <c r="H30" s="243"/>
      <c r="I30" s="243">
        <v>0</v>
      </c>
      <c r="J30" s="243"/>
      <c r="K30" s="243"/>
      <c r="L30" s="243"/>
      <c r="M30" s="243"/>
      <c r="N30" s="243"/>
      <c r="O30" s="243"/>
      <c r="P30" s="243">
        <v>0</v>
      </c>
      <c r="Q30" s="243"/>
      <c r="R30" s="243"/>
      <c r="S30" s="243"/>
      <c r="T30" s="243"/>
      <c r="U30" s="243"/>
      <c r="V30" s="243">
        <v>0</v>
      </c>
      <c r="W30" s="243"/>
      <c r="X30" s="243"/>
      <c r="Y30" s="243"/>
      <c r="Z30" s="243"/>
      <c r="AA30" s="243"/>
      <c r="AB30" s="243">
        <v>0</v>
      </c>
      <c r="AC30" s="243"/>
      <c r="AD30" s="243"/>
      <c r="AE30" s="243"/>
      <c r="AF30" s="243"/>
      <c r="AG30" s="243"/>
      <c r="AH30" s="243">
        <v>0</v>
      </c>
      <c r="AI30" s="243"/>
      <c r="AJ30" s="243"/>
      <c r="AK30" s="243"/>
      <c r="AL30" s="243"/>
      <c r="AM30" s="243"/>
      <c r="AN30" s="243">
        <v>0</v>
      </c>
      <c r="AO30" s="243"/>
      <c r="AP30" s="243"/>
      <c r="AQ30" s="243"/>
      <c r="AR30" s="243"/>
      <c r="AS30" s="243"/>
      <c r="AT30" s="243">
        <v>0</v>
      </c>
      <c r="AU30" s="243"/>
      <c r="AV30" s="243"/>
      <c r="AW30" s="243"/>
      <c r="AX30" s="243"/>
      <c r="AY30" s="243"/>
      <c r="AZ30" s="243">
        <v>0</v>
      </c>
      <c r="BA30" s="243"/>
      <c r="BB30" s="243"/>
      <c r="BC30" s="243"/>
      <c r="BD30" s="243"/>
      <c r="BE30" s="243"/>
      <c r="BF30" s="243">
        <v>0</v>
      </c>
      <c r="BG30" s="243"/>
      <c r="BH30" s="243"/>
      <c r="BI30" s="243"/>
      <c r="BJ30" s="243"/>
      <c r="BK30" s="243"/>
      <c r="BL30" s="243">
        <v>0</v>
      </c>
      <c r="BM30" s="243"/>
      <c r="BN30" s="243"/>
      <c r="BO30" s="243"/>
      <c r="BP30" s="243"/>
      <c r="BQ30" s="243"/>
      <c r="BR30" s="243">
        <v>0</v>
      </c>
      <c r="BS30" s="243"/>
      <c r="BT30" s="243"/>
      <c r="BU30" s="243"/>
      <c r="BV30" s="243"/>
      <c r="BW30" s="243"/>
      <c r="BX30" s="243">
        <v>0</v>
      </c>
      <c r="BY30" s="243"/>
      <c r="BZ30" s="243"/>
      <c r="CA30" s="243"/>
      <c r="CB30" s="250">
        <f t="shared" si="3"/>
        <v>0</v>
      </c>
      <c r="CC30" s="236"/>
      <c r="CD30" s="236"/>
      <c r="CE30" s="236"/>
      <c r="CF30" s="236"/>
    </row>
    <row r="31" spans="1:80" ht="14.25" thickBot="1" thickTop="1">
      <c r="A31" s="245" t="s">
        <v>93</v>
      </c>
      <c r="B31" s="244"/>
      <c r="C31" s="243"/>
      <c r="D31" s="243"/>
      <c r="E31" s="243"/>
      <c r="F31" s="243"/>
      <c r="G31" s="243"/>
      <c r="H31" s="243"/>
      <c r="I31" s="243">
        <v>0</v>
      </c>
      <c r="J31" s="243"/>
      <c r="K31" s="243">
        <v>0</v>
      </c>
      <c r="L31" s="243"/>
      <c r="M31" s="243"/>
      <c r="N31" s="243"/>
      <c r="O31" s="243"/>
      <c r="P31" s="243">
        <v>0</v>
      </c>
      <c r="Q31" s="243"/>
      <c r="R31" s="243"/>
      <c r="S31" s="243"/>
      <c r="T31" s="243"/>
      <c r="U31" s="243"/>
      <c r="V31" s="243">
        <v>0</v>
      </c>
      <c r="W31" s="243"/>
      <c r="X31" s="243"/>
      <c r="Y31" s="243"/>
      <c r="Z31" s="243"/>
      <c r="AA31" s="243"/>
      <c r="AB31" s="243">
        <v>0</v>
      </c>
      <c r="AC31" s="243"/>
      <c r="AD31" s="243"/>
      <c r="AE31" s="243"/>
      <c r="AF31" s="243"/>
      <c r="AG31" s="243"/>
      <c r="AH31" s="243">
        <v>0</v>
      </c>
      <c r="AI31" s="243"/>
      <c r="AJ31" s="243"/>
      <c r="AK31" s="243"/>
      <c r="AL31" s="243"/>
      <c r="AM31" s="243"/>
      <c r="AN31" s="243">
        <v>0</v>
      </c>
      <c r="AO31" s="243"/>
      <c r="AP31" s="243"/>
      <c r="AQ31" s="243"/>
      <c r="AR31" s="243"/>
      <c r="AS31" s="243"/>
      <c r="AT31" s="243">
        <v>0</v>
      </c>
      <c r="AU31" s="243"/>
      <c r="AV31" s="243"/>
      <c r="AW31" s="243"/>
      <c r="AX31" s="243"/>
      <c r="AY31" s="243"/>
      <c r="AZ31" s="243">
        <v>0</v>
      </c>
      <c r="BA31" s="243"/>
      <c r="BB31" s="243"/>
      <c r="BC31" s="243"/>
      <c r="BD31" s="243"/>
      <c r="BE31" s="243"/>
      <c r="BF31" s="243">
        <v>0</v>
      </c>
      <c r="BG31" s="243"/>
      <c r="BH31" s="243"/>
      <c r="BI31" s="243"/>
      <c r="BJ31" s="243"/>
      <c r="BK31" s="243"/>
      <c r="BL31" s="243">
        <v>0</v>
      </c>
      <c r="BM31" s="243"/>
      <c r="BN31" s="243"/>
      <c r="BO31" s="243"/>
      <c r="BP31" s="243"/>
      <c r="BQ31" s="243"/>
      <c r="BR31" s="243">
        <v>0</v>
      </c>
      <c r="BS31" s="243"/>
      <c r="BT31" s="243"/>
      <c r="BU31" s="243"/>
      <c r="BV31" s="243"/>
      <c r="BW31" s="243"/>
      <c r="BX31" s="243">
        <v>0</v>
      </c>
      <c r="BY31" s="243"/>
      <c r="BZ31" s="243"/>
      <c r="CA31" s="243"/>
      <c r="CB31" s="242">
        <f t="shared" si="3"/>
        <v>0</v>
      </c>
    </row>
    <row r="32" spans="1:80" ht="14.25" thickBot="1" thickTop="1">
      <c r="A32" s="245" t="s">
        <v>93</v>
      </c>
      <c r="B32" s="244"/>
      <c r="C32" s="243"/>
      <c r="D32" s="243"/>
      <c r="E32" s="243"/>
      <c r="F32" s="243"/>
      <c r="G32" s="243"/>
      <c r="H32" s="243"/>
      <c r="I32" s="243">
        <f>50500/12*1</f>
        <v>4208.333333333333</v>
      </c>
      <c r="J32" s="243"/>
      <c r="K32" s="242">
        <f>REV!D36</f>
        <v>71796076</v>
      </c>
      <c r="L32" s="243"/>
      <c r="M32" s="243"/>
      <c r="N32" s="243"/>
      <c r="O32" s="243"/>
      <c r="P32" s="243">
        <f>50500/12*2</f>
        <v>8416.666666666666</v>
      </c>
      <c r="Q32" s="243"/>
      <c r="R32" s="243"/>
      <c r="S32" s="243"/>
      <c r="T32" s="243"/>
      <c r="U32" s="243"/>
      <c r="V32" s="243">
        <f>50500/12*3</f>
        <v>12625</v>
      </c>
      <c r="W32" s="243"/>
      <c r="X32" s="243"/>
      <c r="Y32" s="243"/>
      <c r="Z32" s="243"/>
      <c r="AA32" s="243"/>
      <c r="AB32" s="243">
        <f>50500/12*4</f>
        <v>16833.333333333332</v>
      </c>
      <c r="AC32" s="243"/>
      <c r="AD32" s="243"/>
      <c r="AE32" s="243"/>
      <c r="AF32" s="243"/>
      <c r="AG32" s="243"/>
      <c r="AH32" s="243">
        <f>50500/12*5</f>
        <v>21041.666666666664</v>
      </c>
      <c r="AI32" s="243"/>
      <c r="AJ32" s="243"/>
      <c r="AK32" s="243"/>
      <c r="AL32" s="243"/>
      <c r="AM32" s="243"/>
      <c r="AN32" s="243">
        <f>50500/12*6</f>
        <v>25250</v>
      </c>
      <c r="AO32" s="243"/>
      <c r="AP32" s="243"/>
      <c r="AQ32" s="243"/>
      <c r="AR32" s="243"/>
      <c r="AS32" s="243"/>
      <c r="AT32" s="243">
        <f>50500/12*7</f>
        <v>29458.333333333332</v>
      </c>
      <c r="AU32" s="243"/>
      <c r="AV32" s="243"/>
      <c r="AW32" s="243"/>
      <c r="AX32" s="243"/>
      <c r="AY32" s="243"/>
      <c r="AZ32" s="243">
        <f>50500/12*8</f>
        <v>33666.666666666664</v>
      </c>
      <c r="BA32" s="243"/>
      <c r="BB32" s="243"/>
      <c r="BC32" s="243"/>
      <c r="BD32" s="243"/>
      <c r="BE32" s="243"/>
      <c r="BF32" s="243">
        <f>50500/12*9</f>
        <v>37875</v>
      </c>
      <c r="BG32" s="243"/>
      <c r="BH32" s="243"/>
      <c r="BI32" s="243"/>
      <c r="BJ32" s="243"/>
      <c r="BK32" s="243"/>
      <c r="BL32" s="243">
        <f>50500/12*10</f>
        <v>42083.33333333333</v>
      </c>
      <c r="BM32" s="243"/>
      <c r="BN32" s="243"/>
      <c r="BO32" s="243"/>
      <c r="BP32" s="243"/>
      <c r="BQ32" s="243"/>
      <c r="BR32" s="243">
        <f>50500/12*11</f>
        <v>46291.666666666664</v>
      </c>
      <c r="BS32" s="243"/>
      <c r="BT32" s="243"/>
      <c r="BU32" s="243"/>
      <c r="BV32" s="243"/>
      <c r="BW32" s="243"/>
      <c r="BX32" s="243">
        <f>50500/12*12</f>
        <v>50500</v>
      </c>
      <c r="BY32" s="243"/>
      <c r="BZ32" s="243"/>
      <c r="CA32" s="243"/>
      <c r="CB32" s="242">
        <f t="shared" si="3"/>
        <v>50500</v>
      </c>
    </row>
    <row r="33" spans="1:80" ht="14.25" thickBot="1" thickTop="1">
      <c r="A33" s="245" t="s">
        <v>99</v>
      </c>
      <c r="B33" s="244"/>
      <c r="C33" s="243"/>
      <c r="D33" s="243"/>
      <c r="E33" s="243"/>
      <c r="F33" s="243"/>
      <c r="G33" s="243"/>
      <c r="H33" s="243"/>
      <c r="I33" s="243">
        <f>25000/12*1</f>
        <v>2083.3333333333335</v>
      </c>
      <c r="J33" s="243"/>
      <c r="K33" s="242">
        <f>REV!D34</f>
        <v>203564</v>
      </c>
      <c r="L33" s="243"/>
      <c r="M33" s="243"/>
      <c r="N33" s="243"/>
      <c r="O33" s="243"/>
      <c r="P33" s="243">
        <f>25000/12*2</f>
        <v>4166.666666666667</v>
      </c>
      <c r="Q33" s="243"/>
      <c r="R33" s="243"/>
      <c r="S33" s="243"/>
      <c r="T33" s="243"/>
      <c r="U33" s="243"/>
      <c r="V33" s="243">
        <f>25000/12*3</f>
        <v>6250</v>
      </c>
      <c r="W33" s="243"/>
      <c r="X33" s="243"/>
      <c r="Y33" s="243"/>
      <c r="Z33" s="243"/>
      <c r="AA33" s="243"/>
      <c r="AB33" s="243">
        <f>25000/12*4</f>
        <v>8333.333333333334</v>
      </c>
      <c r="AC33" s="243"/>
      <c r="AD33" s="243"/>
      <c r="AE33" s="243"/>
      <c r="AF33" s="243"/>
      <c r="AG33" s="243"/>
      <c r="AH33" s="243">
        <f>25000/12*5</f>
        <v>10416.666666666668</v>
      </c>
      <c r="AI33" s="243"/>
      <c r="AJ33" s="243"/>
      <c r="AK33" s="243"/>
      <c r="AL33" s="243"/>
      <c r="AM33" s="243"/>
      <c r="AN33" s="243">
        <f>25000/12*6</f>
        <v>12500</v>
      </c>
      <c r="AO33" s="243"/>
      <c r="AP33" s="243"/>
      <c r="AQ33" s="243"/>
      <c r="AR33" s="243"/>
      <c r="AS33" s="243"/>
      <c r="AT33" s="243">
        <f>25000/12*7</f>
        <v>14583.333333333334</v>
      </c>
      <c r="AU33" s="243"/>
      <c r="AV33" s="243"/>
      <c r="AW33" s="243"/>
      <c r="AX33" s="243"/>
      <c r="AY33" s="243"/>
      <c r="AZ33" s="243">
        <f>25000/12*8</f>
        <v>16666.666666666668</v>
      </c>
      <c r="BA33" s="243"/>
      <c r="BB33" s="243"/>
      <c r="BC33" s="243"/>
      <c r="BD33" s="243"/>
      <c r="BE33" s="243"/>
      <c r="BF33" s="243">
        <f>25000/12*9</f>
        <v>18750</v>
      </c>
      <c r="BG33" s="243"/>
      <c r="BH33" s="243"/>
      <c r="BI33" s="243"/>
      <c r="BJ33" s="243"/>
      <c r="BK33" s="243"/>
      <c r="BL33" s="243">
        <f>25000/12*10</f>
        <v>20833.333333333336</v>
      </c>
      <c r="BM33" s="243"/>
      <c r="BN33" s="243"/>
      <c r="BO33" s="243"/>
      <c r="BP33" s="243"/>
      <c r="BQ33" s="243"/>
      <c r="BR33" s="243">
        <f>25000/12*11</f>
        <v>22916.666666666668</v>
      </c>
      <c r="BS33" s="243"/>
      <c r="BT33" s="243"/>
      <c r="BU33" s="243"/>
      <c r="BV33" s="243"/>
      <c r="BW33" s="243"/>
      <c r="BX33" s="243">
        <f>25000/12*12</f>
        <v>25000</v>
      </c>
      <c r="BY33" s="243"/>
      <c r="BZ33" s="243"/>
      <c r="CA33" s="243"/>
      <c r="CB33" s="242">
        <f t="shared" si="3"/>
        <v>25000</v>
      </c>
    </row>
    <row r="34" spans="1:80" ht="14.25" thickBot="1" thickTop="1">
      <c r="A34" s="245" t="s">
        <v>93</v>
      </c>
      <c r="B34" s="244"/>
      <c r="C34" s="249"/>
      <c r="D34" s="249"/>
      <c r="E34" s="249"/>
      <c r="F34" s="242"/>
      <c r="G34" s="249"/>
      <c r="H34" s="249"/>
      <c r="I34" s="242">
        <v>32749305</v>
      </c>
      <c r="J34" s="242"/>
      <c r="K34" s="242">
        <f>REV!D11</f>
        <v>67898000</v>
      </c>
      <c r="L34" s="249"/>
      <c r="M34" s="249"/>
      <c r="N34" s="249"/>
      <c r="O34" s="249"/>
      <c r="P34" s="242">
        <f>0+I34</f>
        <v>32749305</v>
      </c>
      <c r="Q34" s="249"/>
      <c r="R34" s="249"/>
      <c r="S34" s="249"/>
      <c r="T34" s="249"/>
      <c r="U34" s="249"/>
      <c r="V34" s="242">
        <f>0+P34</f>
        <v>32749305</v>
      </c>
      <c r="W34" s="242"/>
      <c r="X34" s="249"/>
      <c r="Y34" s="249"/>
      <c r="Z34" s="249"/>
      <c r="AA34" s="249"/>
      <c r="AB34" s="242">
        <f>V34</f>
        <v>32749305</v>
      </c>
      <c r="AC34" s="249"/>
      <c r="AD34" s="249"/>
      <c r="AE34" s="249"/>
      <c r="AF34" s="249"/>
      <c r="AG34" s="249"/>
      <c r="AH34" s="242">
        <f>26199444+AB34</f>
        <v>58948749</v>
      </c>
      <c r="AI34" s="249"/>
      <c r="AJ34" s="249"/>
      <c r="AK34" s="249"/>
      <c r="AL34" s="249"/>
      <c r="AM34" s="249"/>
      <c r="AN34" s="242">
        <f>AH34</f>
        <v>58948749</v>
      </c>
      <c r="AO34" s="242"/>
      <c r="AP34" s="249"/>
      <c r="AQ34" s="249"/>
      <c r="AR34" s="249"/>
      <c r="AS34" s="249"/>
      <c r="AT34" s="242">
        <f>AN34</f>
        <v>58948749</v>
      </c>
      <c r="AU34" s="249"/>
      <c r="AV34" s="249"/>
      <c r="AW34" s="249"/>
      <c r="AX34" s="249"/>
      <c r="AY34" s="249"/>
      <c r="AZ34" s="242">
        <f>0+AT34</f>
        <v>58948749</v>
      </c>
      <c r="BA34" s="249"/>
      <c r="BB34" s="249"/>
      <c r="BC34" s="249"/>
      <c r="BD34" s="249"/>
      <c r="BE34" s="249"/>
      <c r="BF34" s="242">
        <f>AZ34+19649583</f>
        <v>78598332</v>
      </c>
      <c r="BG34" s="242"/>
      <c r="BH34" s="249"/>
      <c r="BI34" s="249"/>
      <c r="BJ34" s="249"/>
      <c r="BK34" s="249"/>
      <c r="BL34" s="242">
        <f>BF34</f>
        <v>78598332</v>
      </c>
      <c r="BM34" s="249"/>
      <c r="BN34" s="249"/>
      <c r="BO34" s="249"/>
      <c r="BP34" s="249"/>
      <c r="BQ34" s="249"/>
      <c r="BR34" s="242">
        <f>BL34</f>
        <v>78598332</v>
      </c>
      <c r="BS34" s="249"/>
      <c r="BT34" s="249"/>
      <c r="BU34" s="249"/>
      <c r="BV34" s="249"/>
      <c r="BW34" s="249"/>
      <c r="BX34" s="242">
        <f>BR34</f>
        <v>78598332</v>
      </c>
      <c r="BY34" s="242"/>
      <c r="BZ34" s="249"/>
      <c r="CA34" s="242"/>
      <c r="CB34" s="242">
        <f t="shared" si="3"/>
        <v>78598332</v>
      </c>
    </row>
    <row r="35" spans="1:80" ht="14.25" thickBot="1" thickTop="1">
      <c r="A35" s="245" t="s">
        <v>93</v>
      </c>
      <c r="B35" s="244"/>
      <c r="C35" s="243"/>
      <c r="D35" s="243"/>
      <c r="E35" s="243"/>
      <c r="F35" s="242"/>
      <c r="G35" s="243"/>
      <c r="H35" s="243"/>
      <c r="I35" s="242">
        <v>1000000</v>
      </c>
      <c r="J35" s="243"/>
      <c r="K35" s="242">
        <f>REV!D13</f>
        <v>276279</v>
      </c>
      <c r="L35" s="243"/>
      <c r="M35" s="243"/>
      <c r="N35" s="243"/>
      <c r="O35" s="243"/>
      <c r="P35" s="243">
        <f>0+I35</f>
        <v>1000000</v>
      </c>
      <c r="Q35" s="243"/>
      <c r="R35" s="243"/>
      <c r="S35" s="243"/>
      <c r="T35" s="243"/>
      <c r="U35" s="243"/>
      <c r="V35" s="242">
        <f>0+P35</f>
        <v>1000000</v>
      </c>
      <c r="W35" s="248"/>
      <c r="X35" s="243"/>
      <c r="Y35" s="243"/>
      <c r="Z35" s="243"/>
      <c r="AA35" s="243"/>
      <c r="AB35" s="242">
        <f>V35</f>
        <v>1000000</v>
      </c>
      <c r="AC35" s="243"/>
      <c r="AD35" s="243"/>
      <c r="AE35" s="243"/>
      <c r="AF35" s="243"/>
      <c r="AG35" s="243"/>
      <c r="AH35" s="242">
        <f>AB35</f>
        <v>1000000</v>
      </c>
      <c r="AI35" s="243"/>
      <c r="AJ35" s="243"/>
      <c r="AK35" s="243"/>
      <c r="AL35" s="243"/>
      <c r="AM35" s="243"/>
      <c r="AN35" s="242">
        <f>AH35</f>
        <v>1000000</v>
      </c>
      <c r="AO35" s="242"/>
      <c r="AP35" s="243"/>
      <c r="AQ35" s="243"/>
      <c r="AR35" s="243"/>
      <c r="AS35" s="243"/>
      <c r="AT35" s="242">
        <f>AN35</f>
        <v>1000000</v>
      </c>
      <c r="AU35" s="243"/>
      <c r="AV35" s="243"/>
      <c r="AW35" s="243"/>
      <c r="AX35" s="243"/>
      <c r="AY35" s="243"/>
      <c r="AZ35" s="242">
        <f>AT35</f>
        <v>1000000</v>
      </c>
      <c r="BA35" s="243"/>
      <c r="BB35" s="243"/>
      <c r="BC35" s="243"/>
      <c r="BD35" s="243"/>
      <c r="BE35" s="243"/>
      <c r="BF35" s="242">
        <f>AZ35</f>
        <v>1000000</v>
      </c>
      <c r="BG35" s="242"/>
      <c r="BH35" s="243"/>
      <c r="BI35" s="243"/>
      <c r="BJ35" s="243"/>
      <c r="BK35" s="243"/>
      <c r="BL35" s="242">
        <f>BF35</f>
        <v>1000000</v>
      </c>
      <c r="BM35" s="243"/>
      <c r="BN35" s="243"/>
      <c r="BO35" s="243"/>
      <c r="BP35" s="243"/>
      <c r="BQ35" s="243"/>
      <c r="BR35" s="242">
        <f>BL35</f>
        <v>1000000</v>
      </c>
      <c r="BS35" s="243"/>
      <c r="BT35" s="243"/>
      <c r="BU35" s="243"/>
      <c r="BV35" s="243"/>
      <c r="BW35" s="243"/>
      <c r="BX35" s="242">
        <f>BR35</f>
        <v>1000000</v>
      </c>
      <c r="BY35" s="242"/>
      <c r="BZ35" s="243"/>
      <c r="CA35" s="243"/>
      <c r="CB35" s="242">
        <f t="shared" si="3"/>
        <v>1000000</v>
      </c>
    </row>
    <row r="36" spans="1:80" ht="14.25" thickBot="1" thickTop="1">
      <c r="A36" s="245" t="s">
        <v>95</v>
      </c>
      <c r="B36" s="244"/>
      <c r="C36" s="243"/>
      <c r="D36" s="243"/>
      <c r="E36" s="243"/>
      <c r="F36" s="247"/>
      <c r="G36" s="247"/>
      <c r="H36" s="247"/>
      <c r="I36" s="243">
        <v>735000</v>
      </c>
      <c r="J36" s="243"/>
      <c r="K36" s="242">
        <f>REV!D12</f>
        <v>78614</v>
      </c>
      <c r="L36" s="243"/>
      <c r="M36" s="243"/>
      <c r="N36" s="247"/>
      <c r="O36" s="247"/>
      <c r="P36" s="243">
        <f>0+I36</f>
        <v>735000</v>
      </c>
      <c r="Q36" s="243"/>
      <c r="R36" s="243"/>
      <c r="S36" s="243"/>
      <c r="T36" s="247"/>
      <c r="U36" s="247"/>
      <c r="V36" s="242">
        <f>0+P36</f>
        <v>735000</v>
      </c>
      <c r="W36" s="243"/>
      <c r="X36" s="243"/>
      <c r="Y36" s="243"/>
      <c r="Z36" s="247"/>
      <c r="AA36" s="247"/>
      <c r="AB36" s="242">
        <f>V36</f>
        <v>735000</v>
      </c>
      <c r="AC36" s="243"/>
      <c r="AD36" s="243"/>
      <c r="AE36" s="243"/>
      <c r="AF36" s="247"/>
      <c r="AG36" s="247"/>
      <c r="AH36" s="242">
        <f>AB36</f>
        <v>735000</v>
      </c>
      <c r="AI36" s="243"/>
      <c r="AJ36" s="243"/>
      <c r="AK36" s="243"/>
      <c r="AL36" s="247"/>
      <c r="AM36" s="247"/>
      <c r="AN36" s="242">
        <f>AH36</f>
        <v>735000</v>
      </c>
      <c r="AO36" s="242"/>
      <c r="AP36" s="243"/>
      <c r="AQ36" s="243"/>
      <c r="AR36" s="247"/>
      <c r="AS36" s="247"/>
      <c r="AT36" s="242">
        <f>AN36</f>
        <v>735000</v>
      </c>
      <c r="AU36" s="243"/>
      <c r="AV36" s="243"/>
      <c r="AW36" s="243"/>
      <c r="AX36" s="247"/>
      <c r="AY36" s="247"/>
      <c r="AZ36" s="242">
        <f>AT36</f>
        <v>735000</v>
      </c>
      <c r="BA36" s="243"/>
      <c r="BB36" s="243"/>
      <c r="BC36" s="243"/>
      <c r="BD36" s="247"/>
      <c r="BE36" s="247"/>
      <c r="BF36" s="242">
        <f>AZ36</f>
        <v>735000</v>
      </c>
      <c r="BG36" s="242"/>
      <c r="BH36" s="243"/>
      <c r="BI36" s="243"/>
      <c r="BJ36" s="247"/>
      <c r="BK36" s="247"/>
      <c r="BL36" s="242">
        <f>BF36</f>
        <v>735000</v>
      </c>
      <c r="BM36" s="243"/>
      <c r="BN36" s="243"/>
      <c r="BO36" s="243"/>
      <c r="BP36" s="247"/>
      <c r="BQ36" s="247"/>
      <c r="BR36" s="242">
        <f>BL36</f>
        <v>735000</v>
      </c>
      <c r="BS36" s="243"/>
      <c r="BT36" s="243"/>
      <c r="BU36" s="243"/>
      <c r="BV36" s="247"/>
      <c r="BW36" s="247"/>
      <c r="BX36" s="242">
        <f>BR36</f>
        <v>735000</v>
      </c>
      <c r="BY36" s="242"/>
      <c r="BZ36" s="243"/>
      <c r="CA36" s="243"/>
      <c r="CB36" s="242">
        <f t="shared" si="3"/>
        <v>735000</v>
      </c>
    </row>
    <row r="37" spans="1:80" ht="14.25" thickBot="1" thickTop="1">
      <c r="A37" s="245" t="s">
        <v>100</v>
      </c>
      <c r="B37" s="244"/>
      <c r="C37" s="243"/>
      <c r="D37" s="243"/>
      <c r="E37" s="243"/>
      <c r="F37" s="243"/>
      <c r="G37" s="243"/>
      <c r="H37" s="243"/>
      <c r="I37" s="243">
        <v>1862750</v>
      </c>
      <c r="J37" s="243"/>
      <c r="K37" s="242">
        <f>REV!D14</f>
        <v>0</v>
      </c>
      <c r="L37" s="243"/>
      <c r="M37" s="243"/>
      <c r="N37" s="243"/>
      <c r="O37" s="243"/>
      <c r="P37" s="243">
        <f>0+I37</f>
        <v>1862750</v>
      </c>
      <c r="Q37" s="243"/>
      <c r="R37" s="243"/>
      <c r="S37" s="243"/>
      <c r="T37" s="243"/>
      <c r="U37" s="243"/>
      <c r="V37" s="242">
        <f>0+P37</f>
        <v>1862750</v>
      </c>
      <c r="W37" s="243"/>
      <c r="X37" s="243"/>
      <c r="Y37" s="243"/>
      <c r="Z37" s="243"/>
      <c r="AA37" s="243"/>
      <c r="AB37" s="242">
        <f>V37+1862750</f>
        <v>3725500</v>
      </c>
      <c r="AC37" s="243"/>
      <c r="AD37" s="243"/>
      <c r="AE37" s="243"/>
      <c r="AF37" s="243"/>
      <c r="AG37" s="243"/>
      <c r="AH37" s="242">
        <f>AB37</f>
        <v>3725500</v>
      </c>
      <c r="AI37" s="243"/>
      <c r="AJ37" s="243"/>
      <c r="AK37" s="243"/>
      <c r="AL37" s="243"/>
      <c r="AM37" s="243"/>
      <c r="AN37" s="242">
        <f>AH37</f>
        <v>3725500</v>
      </c>
      <c r="AO37" s="243"/>
      <c r="AP37" s="243"/>
      <c r="AQ37" s="243"/>
      <c r="AR37" s="243"/>
      <c r="AS37" s="243"/>
      <c r="AT37" s="242">
        <f>AN37+1862750</f>
        <v>5588250</v>
      </c>
      <c r="AU37" s="243"/>
      <c r="AV37" s="243"/>
      <c r="AW37" s="243"/>
      <c r="AX37" s="243"/>
      <c r="AY37" s="243"/>
      <c r="AZ37" s="242">
        <f>AT37</f>
        <v>5588250</v>
      </c>
      <c r="BA37" s="243"/>
      <c r="BB37" s="243"/>
      <c r="BC37" s="243"/>
      <c r="BD37" s="243"/>
      <c r="BE37" s="243"/>
      <c r="BF37" s="242">
        <f>AZ37</f>
        <v>5588250</v>
      </c>
      <c r="BG37" s="243"/>
      <c r="BH37" s="243"/>
      <c r="BI37" s="243"/>
      <c r="BJ37" s="243"/>
      <c r="BK37" s="243"/>
      <c r="BL37" s="242">
        <f>BF37+1862750</f>
        <v>7451000</v>
      </c>
      <c r="BM37" s="243"/>
      <c r="BN37" s="243"/>
      <c r="BO37" s="243"/>
      <c r="BP37" s="243"/>
      <c r="BQ37" s="243"/>
      <c r="BR37" s="242">
        <f>BL37</f>
        <v>7451000</v>
      </c>
      <c r="BS37" s="243"/>
      <c r="BT37" s="243"/>
      <c r="BU37" s="243"/>
      <c r="BV37" s="243"/>
      <c r="BW37" s="243"/>
      <c r="BX37" s="242">
        <f>BR37</f>
        <v>7451000</v>
      </c>
      <c r="BY37" s="243"/>
      <c r="BZ37" s="243"/>
      <c r="CA37" s="243"/>
      <c r="CB37" s="242">
        <f t="shared" si="3"/>
        <v>7451000</v>
      </c>
    </row>
    <row r="38" spans="1:80" ht="14.25" thickBot="1" thickTop="1">
      <c r="A38" s="245" t="s">
        <v>96</v>
      </c>
      <c r="B38" s="244"/>
      <c r="C38" s="243"/>
      <c r="D38" s="243"/>
      <c r="E38" s="243"/>
      <c r="F38" s="243"/>
      <c r="G38" s="243"/>
      <c r="H38" s="243"/>
      <c r="I38" s="243">
        <v>0</v>
      </c>
      <c r="J38" s="243"/>
      <c r="K38" s="243">
        <v>0</v>
      </c>
      <c r="L38" s="243"/>
      <c r="M38" s="243"/>
      <c r="N38" s="243"/>
      <c r="O38" s="243"/>
      <c r="P38" s="243">
        <v>0</v>
      </c>
      <c r="Q38" s="243"/>
      <c r="R38" s="243"/>
      <c r="S38" s="243"/>
      <c r="T38" s="243"/>
      <c r="U38" s="243"/>
      <c r="V38" s="243">
        <v>0</v>
      </c>
      <c r="W38" s="243"/>
      <c r="X38" s="243"/>
      <c r="Y38" s="243"/>
      <c r="Z38" s="243"/>
      <c r="AA38" s="243"/>
      <c r="AB38" s="243">
        <v>0</v>
      </c>
      <c r="AC38" s="243"/>
      <c r="AD38" s="243"/>
      <c r="AE38" s="243"/>
      <c r="AF38" s="243"/>
      <c r="AG38" s="243"/>
      <c r="AH38" s="243">
        <v>0</v>
      </c>
      <c r="AI38" s="243"/>
      <c r="AJ38" s="243"/>
      <c r="AK38" s="243"/>
      <c r="AL38" s="243"/>
      <c r="AM38" s="243"/>
      <c r="AN38" s="243">
        <v>0</v>
      </c>
      <c r="AO38" s="243"/>
      <c r="AP38" s="243"/>
      <c r="AQ38" s="243"/>
      <c r="AR38" s="243"/>
      <c r="AS38" s="243"/>
      <c r="AT38" s="243">
        <v>0</v>
      </c>
      <c r="AU38" s="243"/>
      <c r="AV38" s="243"/>
      <c r="AW38" s="243"/>
      <c r="AX38" s="243"/>
      <c r="AY38" s="243"/>
      <c r="AZ38" s="243">
        <v>0</v>
      </c>
      <c r="BA38" s="243"/>
      <c r="BB38" s="243"/>
      <c r="BC38" s="243"/>
      <c r="BD38" s="243"/>
      <c r="BE38" s="243"/>
      <c r="BF38" s="243">
        <v>0</v>
      </c>
      <c r="BG38" s="243"/>
      <c r="BH38" s="243"/>
      <c r="BI38" s="243"/>
      <c r="BJ38" s="243"/>
      <c r="BK38" s="243"/>
      <c r="BL38" s="243">
        <v>0</v>
      </c>
      <c r="BM38" s="243"/>
      <c r="BN38" s="243"/>
      <c r="BO38" s="243"/>
      <c r="BP38" s="243"/>
      <c r="BQ38" s="243"/>
      <c r="BR38" s="243">
        <v>0</v>
      </c>
      <c r="BS38" s="243"/>
      <c r="BT38" s="243"/>
      <c r="BU38" s="243"/>
      <c r="BV38" s="243"/>
      <c r="BW38" s="243"/>
      <c r="BX38" s="243">
        <v>0</v>
      </c>
      <c r="BY38" s="243"/>
      <c r="BZ38" s="243"/>
      <c r="CA38" s="243"/>
      <c r="CB38" s="242">
        <f t="shared" si="3"/>
        <v>0</v>
      </c>
    </row>
    <row r="39" spans="1:80" ht="14.25" thickBot="1" thickTop="1">
      <c r="A39" s="245" t="s">
        <v>96</v>
      </c>
      <c r="B39" s="244"/>
      <c r="C39" s="243"/>
      <c r="D39" s="243"/>
      <c r="E39" s="243"/>
      <c r="F39" s="243"/>
      <c r="G39" s="243"/>
      <c r="H39" s="243"/>
      <c r="I39" s="243">
        <v>0</v>
      </c>
      <c r="J39" s="243"/>
      <c r="K39" s="243">
        <v>0</v>
      </c>
      <c r="L39" s="243"/>
      <c r="M39" s="243"/>
      <c r="N39" s="243"/>
      <c r="O39" s="243"/>
      <c r="P39" s="243">
        <v>0</v>
      </c>
      <c r="Q39" s="243"/>
      <c r="R39" s="243"/>
      <c r="S39" s="243"/>
      <c r="T39" s="243"/>
      <c r="U39" s="243"/>
      <c r="V39" s="243">
        <v>0</v>
      </c>
      <c r="W39" s="243"/>
      <c r="X39" s="243"/>
      <c r="Y39" s="243"/>
      <c r="Z39" s="243"/>
      <c r="AA39" s="243"/>
      <c r="AB39" s="243">
        <v>0</v>
      </c>
      <c r="AC39" s="243"/>
      <c r="AD39" s="243"/>
      <c r="AE39" s="243"/>
      <c r="AF39" s="243"/>
      <c r="AG39" s="243"/>
      <c r="AH39" s="243">
        <v>0</v>
      </c>
      <c r="AI39" s="243"/>
      <c r="AJ39" s="243"/>
      <c r="AK39" s="243"/>
      <c r="AL39" s="243"/>
      <c r="AM39" s="243"/>
      <c r="AN39" s="243">
        <v>0</v>
      </c>
      <c r="AO39" s="243"/>
      <c r="AP39" s="243"/>
      <c r="AQ39" s="243"/>
      <c r="AR39" s="243"/>
      <c r="AS39" s="243"/>
      <c r="AT39" s="243">
        <v>0</v>
      </c>
      <c r="AU39" s="243"/>
      <c r="AV39" s="243"/>
      <c r="AW39" s="243"/>
      <c r="AX39" s="243"/>
      <c r="AY39" s="243"/>
      <c r="AZ39" s="243">
        <v>0</v>
      </c>
      <c r="BA39" s="243"/>
      <c r="BB39" s="243"/>
      <c r="BC39" s="243"/>
      <c r="BD39" s="243"/>
      <c r="BE39" s="243"/>
      <c r="BF39" s="243">
        <v>0</v>
      </c>
      <c r="BG39" s="243"/>
      <c r="BH39" s="243"/>
      <c r="BI39" s="243"/>
      <c r="BJ39" s="243"/>
      <c r="BK39" s="243"/>
      <c r="BL39" s="243">
        <v>0</v>
      </c>
      <c r="BM39" s="243"/>
      <c r="BN39" s="243"/>
      <c r="BO39" s="243"/>
      <c r="BP39" s="243"/>
      <c r="BQ39" s="243"/>
      <c r="BR39" s="243">
        <v>0</v>
      </c>
      <c r="BS39" s="243"/>
      <c r="BT39" s="243"/>
      <c r="BU39" s="243"/>
      <c r="BV39" s="243"/>
      <c r="BW39" s="243"/>
      <c r="BX39" s="243">
        <v>0</v>
      </c>
      <c r="BY39" s="243"/>
      <c r="BZ39" s="243"/>
      <c r="CA39" s="243"/>
      <c r="CB39" s="242">
        <f t="shared" si="3"/>
        <v>0</v>
      </c>
    </row>
    <row r="40" spans="1:80" ht="14.25" thickBot="1" thickTop="1">
      <c r="A40" s="246" t="s">
        <v>98</v>
      </c>
      <c r="B40" s="244"/>
      <c r="C40" s="243"/>
      <c r="D40" s="243"/>
      <c r="E40" s="243"/>
      <c r="F40" s="243"/>
      <c r="G40" s="243"/>
      <c r="H40" s="243"/>
      <c r="I40" s="243">
        <v>0</v>
      </c>
      <c r="J40" s="243"/>
      <c r="K40" s="243">
        <v>0</v>
      </c>
      <c r="L40" s="243"/>
      <c r="M40" s="243"/>
      <c r="N40" s="243"/>
      <c r="O40" s="243"/>
      <c r="P40" s="243">
        <v>0</v>
      </c>
      <c r="Q40" s="243"/>
      <c r="R40" s="243"/>
      <c r="S40" s="243"/>
      <c r="T40" s="243"/>
      <c r="U40" s="243"/>
      <c r="V40" s="243">
        <v>0</v>
      </c>
      <c r="W40" s="243"/>
      <c r="X40" s="243"/>
      <c r="Y40" s="243"/>
      <c r="Z40" s="243"/>
      <c r="AA40" s="243"/>
      <c r="AB40" s="243">
        <v>0</v>
      </c>
      <c r="AC40" s="243"/>
      <c r="AD40" s="243"/>
      <c r="AE40" s="243"/>
      <c r="AF40" s="243"/>
      <c r="AG40" s="243"/>
      <c r="AH40" s="243">
        <v>0</v>
      </c>
      <c r="AI40" s="243"/>
      <c r="AJ40" s="243"/>
      <c r="AK40" s="243"/>
      <c r="AL40" s="243"/>
      <c r="AM40" s="243"/>
      <c r="AN40" s="243">
        <v>0</v>
      </c>
      <c r="AO40" s="243"/>
      <c r="AP40" s="243"/>
      <c r="AQ40" s="243"/>
      <c r="AR40" s="243"/>
      <c r="AS40" s="243"/>
      <c r="AT40" s="243">
        <v>0</v>
      </c>
      <c r="AU40" s="243"/>
      <c r="AV40" s="243"/>
      <c r="AW40" s="243"/>
      <c r="AX40" s="243"/>
      <c r="AY40" s="243"/>
      <c r="AZ40" s="243">
        <v>0</v>
      </c>
      <c r="BA40" s="243"/>
      <c r="BB40" s="243"/>
      <c r="BC40" s="243"/>
      <c r="BD40" s="243"/>
      <c r="BE40" s="243"/>
      <c r="BF40" s="243">
        <v>0</v>
      </c>
      <c r="BG40" s="243"/>
      <c r="BH40" s="243"/>
      <c r="BI40" s="243"/>
      <c r="BJ40" s="243"/>
      <c r="BK40" s="243"/>
      <c r="BL40" s="243">
        <v>0</v>
      </c>
      <c r="BM40" s="243"/>
      <c r="BN40" s="243"/>
      <c r="BO40" s="243"/>
      <c r="BP40" s="243"/>
      <c r="BQ40" s="243"/>
      <c r="BR40" s="243">
        <v>0</v>
      </c>
      <c r="BS40" s="243"/>
      <c r="BT40" s="243"/>
      <c r="BU40" s="243"/>
      <c r="BV40" s="243"/>
      <c r="BW40" s="243"/>
      <c r="BX40" s="243">
        <v>0</v>
      </c>
      <c r="BY40" s="243"/>
      <c r="BZ40" s="243"/>
      <c r="CA40" s="243"/>
      <c r="CB40" s="242">
        <f t="shared" si="3"/>
        <v>0</v>
      </c>
    </row>
    <row r="41" spans="1:80" ht="14.25" thickBot="1" thickTop="1">
      <c r="A41" s="246" t="s">
        <v>97</v>
      </c>
      <c r="B41" s="244"/>
      <c r="C41" s="243"/>
      <c r="D41" s="243"/>
      <c r="E41" s="243"/>
      <c r="F41" s="243"/>
      <c r="G41" s="243"/>
      <c r="H41" s="243"/>
      <c r="I41" s="243">
        <v>0</v>
      </c>
      <c r="J41" s="243"/>
      <c r="K41" s="243">
        <v>0</v>
      </c>
      <c r="L41" s="243"/>
      <c r="M41" s="243"/>
      <c r="N41" s="243"/>
      <c r="O41" s="243"/>
      <c r="P41" s="243">
        <v>0</v>
      </c>
      <c r="Q41" s="243"/>
      <c r="R41" s="243"/>
      <c r="S41" s="243"/>
      <c r="T41" s="243"/>
      <c r="U41" s="243"/>
      <c r="V41" s="243">
        <v>0</v>
      </c>
      <c r="W41" s="243"/>
      <c r="X41" s="243"/>
      <c r="Y41" s="243"/>
      <c r="Z41" s="243"/>
      <c r="AA41" s="243"/>
      <c r="AB41" s="243">
        <v>0</v>
      </c>
      <c r="AC41" s="243"/>
      <c r="AD41" s="243"/>
      <c r="AE41" s="243"/>
      <c r="AF41" s="243"/>
      <c r="AG41" s="243"/>
      <c r="AH41" s="243">
        <v>0</v>
      </c>
      <c r="AI41" s="243"/>
      <c r="AJ41" s="243"/>
      <c r="AK41" s="243"/>
      <c r="AL41" s="243"/>
      <c r="AM41" s="243"/>
      <c r="AN41" s="243">
        <v>0</v>
      </c>
      <c r="AO41" s="243"/>
      <c r="AP41" s="243"/>
      <c r="AQ41" s="243"/>
      <c r="AR41" s="243"/>
      <c r="AS41" s="243"/>
      <c r="AT41" s="243">
        <v>0</v>
      </c>
      <c r="AU41" s="243"/>
      <c r="AV41" s="243"/>
      <c r="AW41" s="243"/>
      <c r="AX41" s="243"/>
      <c r="AY41" s="243"/>
      <c r="AZ41" s="243">
        <v>0</v>
      </c>
      <c r="BA41" s="243"/>
      <c r="BB41" s="243"/>
      <c r="BC41" s="243"/>
      <c r="BD41" s="243"/>
      <c r="BE41" s="243"/>
      <c r="BF41" s="243">
        <v>0</v>
      </c>
      <c r="BG41" s="243"/>
      <c r="BH41" s="243"/>
      <c r="BI41" s="243"/>
      <c r="BJ41" s="243"/>
      <c r="BK41" s="243"/>
      <c r="BL41" s="243">
        <v>0</v>
      </c>
      <c r="BM41" s="243"/>
      <c r="BN41" s="243"/>
      <c r="BO41" s="243"/>
      <c r="BP41" s="243"/>
      <c r="BQ41" s="243"/>
      <c r="BR41" s="243">
        <v>0</v>
      </c>
      <c r="BS41" s="243"/>
      <c r="BT41" s="243"/>
      <c r="BU41" s="243"/>
      <c r="BV41" s="243"/>
      <c r="BW41" s="243"/>
      <c r="BX41" s="243">
        <v>0</v>
      </c>
      <c r="BY41" s="243"/>
      <c r="BZ41" s="243"/>
      <c r="CA41" s="243"/>
      <c r="CB41" s="242">
        <f t="shared" si="3"/>
        <v>0</v>
      </c>
    </row>
    <row r="42" spans="1:80" ht="14.25" thickBot="1" thickTop="1">
      <c r="A42" s="246" t="s">
        <v>97</v>
      </c>
      <c r="B42" s="244"/>
      <c r="C42" s="243"/>
      <c r="D42" s="243"/>
      <c r="E42" s="243"/>
      <c r="F42" s="243"/>
      <c r="G42" s="243"/>
      <c r="H42" s="243"/>
      <c r="I42" s="243">
        <v>0</v>
      </c>
      <c r="J42" s="243"/>
      <c r="K42" s="243">
        <v>0</v>
      </c>
      <c r="L42" s="243"/>
      <c r="M42" s="243"/>
      <c r="N42" s="243"/>
      <c r="O42" s="243"/>
      <c r="P42" s="243">
        <v>0</v>
      </c>
      <c r="Q42" s="243"/>
      <c r="R42" s="243"/>
      <c r="S42" s="243"/>
      <c r="T42" s="243"/>
      <c r="U42" s="243"/>
      <c r="V42" s="243">
        <v>0</v>
      </c>
      <c r="W42" s="243"/>
      <c r="X42" s="243"/>
      <c r="Y42" s="243"/>
      <c r="Z42" s="243"/>
      <c r="AA42" s="243"/>
      <c r="AB42" s="243">
        <v>0</v>
      </c>
      <c r="AC42" s="243"/>
      <c r="AD42" s="243"/>
      <c r="AE42" s="243"/>
      <c r="AF42" s="243"/>
      <c r="AG42" s="243"/>
      <c r="AH42" s="243">
        <v>0</v>
      </c>
      <c r="AI42" s="243"/>
      <c r="AJ42" s="243"/>
      <c r="AK42" s="243"/>
      <c r="AL42" s="243"/>
      <c r="AM42" s="243"/>
      <c r="AN42" s="243">
        <v>0</v>
      </c>
      <c r="AO42" s="243"/>
      <c r="AP42" s="243"/>
      <c r="AQ42" s="243"/>
      <c r="AR42" s="243"/>
      <c r="AS42" s="243"/>
      <c r="AT42" s="243">
        <v>0</v>
      </c>
      <c r="AU42" s="243"/>
      <c r="AV42" s="243"/>
      <c r="AW42" s="243"/>
      <c r="AX42" s="243"/>
      <c r="AY42" s="243"/>
      <c r="AZ42" s="243">
        <v>0</v>
      </c>
      <c r="BA42" s="243"/>
      <c r="BB42" s="243"/>
      <c r="BC42" s="243"/>
      <c r="BD42" s="243"/>
      <c r="BE42" s="243"/>
      <c r="BF42" s="243">
        <v>0</v>
      </c>
      <c r="BG42" s="243"/>
      <c r="BH42" s="243"/>
      <c r="BI42" s="243"/>
      <c r="BJ42" s="243"/>
      <c r="BK42" s="243"/>
      <c r="BL42" s="243">
        <v>0</v>
      </c>
      <c r="BM42" s="243"/>
      <c r="BN42" s="243"/>
      <c r="BO42" s="243"/>
      <c r="BP42" s="243"/>
      <c r="BQ42" s="243"/>
      <c r="BR42" s="243">
        <v>0</v>
      </c>
      <c r="BS42" s="243"/>
      <c r="BT42" s="243"/>
      <c r="BU42" s="243"/>
      <c r="BV42" s="243"/>
      <c r="BW42" s="243"/>
      <c r="BX42" s="243">
        <v>0</v>
      </c>
      <c r="BY42" s="243"/>
      <c r="BZ42" s="243"/>
      <c r="CA42" s="243"/>
      <c r="CB42" s="242">
        <f t="shared" si="3"/>
        <v>0</v>
      </c>
    </row>
    <row r="43" spans="1:80" ht="14.25" hidden="1" thickBot="1" thickTop="1">
      <c r="A43" s="245" t="s">
        <v>96</v>
      </c>
      <c r="B43" s="244"/>
      <c r="C43" s="243"/>
      <c r="D43" s="243"/>
      <c r="E43" s="243"/>
      <c r="F43" s="243"/>
      <c r="G43" s="243"/>
      <c r="H43" s="243"/>
      <c r="I43" s="243">
        <v>0</v>
      </c>
      <c r="J43" s="243"/>
      <c r="K43" s="243"/>
      <c r="L43" s="243"/>
      <c r="M43" s="243"/>
      <c r="N43" s="243"/>
      <c r="O43" s="243"/>
      <c r="P43" s="243">
        <v>0</v>
      </c>
      <c r="Q43" s="243"/>
      <c r="R43" s="243"/>
      <c r="S43" s="243"/>
      <c r="T43" s="243"/>
      <c r="U43" s="243"/>
      <c r="V43" s="243">
        <v>0</v>
      </c>
      <c r="W43" s="243"/>
      <c r="X43" s="243"/>
      <c r="Y43" s="243"/>
      <c r="Z43" s="243"/>
      <c r="AA43" s="243"/>
      <c r="AB43" s="243">
        <v>0</v>
      </c>
      <c r="AC43" s="243"/>
      <c r="AD43" s="243"/>
      <c r="AE43" s="243"/>
      <c r="AF43" s="243"/>
      <c r="AG43" s="243"/>
      <c r="AH43" s="243">
        <v>0</v>
      </c>
      <c r="AI43" s="243"/>
      <c r="AJ43" s="243"/>
      <c r="AK43" s="243"/>
      <c r="AL43" s="243"/>
      <c r="AM43" s="243"/>
      <c r="AN43" s="243">
        <v>0</v>
      </c>
      <c r="AO43" s="243"/>
      <c r="AP43" s="243"/>
      <c r="AQ43" s="243"/>
      <c r="AR43" s="243"/>
      <c r="AS43" s="243"/>
      <c r="AT43" s="243">
        <v>0</v>
      </c>
      <c r="AU43" s="243"/>
      <c r="AV43" s="243"/>
      <c r="AW43" s="243"/>
      <c r="AX43" s="243"/>
      <c r="AY43" s="243"/>
      <c r="AZ43" s="243">
        <v>0</v>
      </c>
      <c r="BA43" s="243"/>
      <c r="BB43" s="243"/>
      <c r="BC43" s="243"/>
      <c r="BD43" s="243"/>
      <c r="BE43" s="243"/>
      <c r="BF43" s="243">
        <v>0</v>
      </c>
      <c r="BG43" s="243"/>
      <c r="BH43" s="243"/>
      <c r="BI43" s="243"/>
      <c r="BJ43" s="243"/>
      <c r="BK43" s="243"/>
      <c r="BL43" s="243">
        <v>0</v>
      </c>
      <c r="BM43" s="243"/>
      <c r="BN43" s="243"/>
      <c r="BO43" s="243"/>
      <c r="BP43" s="243"/>
      <c r="BQ43" s="243"/>
      <c r="BR43" s="243">
        <v>0</v>
      </c>
      <c r="BS43" s="243"/>
      <c r="BT43" s="243"/>
      <c r="BU43" s="243"/>
      <c r="BV43" s="243"/>
      <c r="BW43" s="243"/>
      <c r="BX43" s="243">
        <v>0</v>
      </c>
      <c r="BY43" s="243"/>
      <c r="BZ43" s="243"/>
      <c r="CA43" s="243"/>
      <c r="CB43" s="242">
        <f t="shared" si="3"/>
        <v>0</v>
      </c>
    </row>
    <row r="44" spans="1:80" s="236" customFormat="1" ht="14.25" thickBot="1" thickTop="1">
      <c r="A44" s="241"/>
      <c r="B44" s="240"/>
      <c r="C44" s="238"/>
      <c r="D44" s="238"/>
      <c r="E44" s="238"/>
      <c r="F44" s="238"/>
      <c r="G44" s="238"/>
      <c r="H44" s="238"/>
      <c r="I44" s="238">
        <f>SUM(I28:I43)</f>
        <v>37562346.666666664</v>
      </c>
      <c r="J44" s="238"/>
      <c r="K44" s="238">
        <f>SUM(K28:K42)</f>
        <v>143271899</v>
      </c>
      <c r="L44" s="238"/>
      <c r="M44" s="238"/>
      <c r="N44" s="238"/>
      <c r="O44" s="238"/>
      <c r="P44" s="238">
        <f>SUM(P28:P43)</f>
        <v>38677638.333333336</v>
      </c>
      <c r="Q44" s="238"/>
      <c r="R44" s="238"/>
      <c r="S44" s="238"/>
      <c r="T44" s="238"/>
      <c r="U44" s="238"/>
      <c r="V44" s="238">
        <f>SUM(V28:V43)</f>
        <v>39692930</v>
      </c>
      <c r="W44" s="238"/>
      <c r="X44" s="238"/>
      <c r="Y44" s="238"/>
      <c r="Z44" s="238"/>
      <c r="AA44" s="238"/>
      <c r="AB44" s="238">
        <f>SUM(AB28:AB43)</f>
        <v>42471471.666666664</v>
      </c>
      <c r="AC44" s="238"/>
      <c r="AD44" s="238"/>
      <c r="AE44" s="238"/>
      <c r="AF44" s="238"/>
      <c r="AG44" s="238"/>
      <c r="AH44" s="238">
        <f>SUM(AH28:AH43)</f>
        <v>69786707.33333334</v>
      </c>
      <c r="AI44" s="238"/>
      <c r="AJ44" s="238"/>
      <c r="AK44" s="238"/>
      <c r="AL44" s="238"/>
      <c r="AM44" s="238"/>
      <c r="AN44" s="238">
        <f>SUM(AN28:AN43)</f>
        <v>70805184</v>
      </c>
      <c r="AO44" s="238"/>
      <c r="AP44" s="238"/>
      <c r="AQ44" s="238"/>
      <c r="AR44" s="238"/>
      <c r="AS44" s="238"/>
      <c r="AT44" s="238">
        <f>SUM(AT28:AT43)</f>
        <v>73586410.66666666</v>
      </c>
      <c r="AU44" s="238"/>
      <c r="AV44" s="238"/>
      <c r="AW44" s="238"/>
      <c r="AX44" s="238"/>
      <c r="AY44" s="238"/>
      <c r="AZ44" s="238">
        <f>SUM(AZ28:AZ43)</f>
        <v>74602202.33333333</v>
      </c>
      <c r="BA44" s="238"/>
      <c r="BB44" s="238"/>
      <c r="BC44" s="238"/>
      <c r="BD44" s="238"/>
      <c r="BE44" s="238"/>
      <c r="BF44" s="238">
        <f>SUM(BF28:BF43)</f>
        <v>95167577</v>
      </c>
      <c r="BG44" s="238"/>
      <c r="BH44" s="238"/>
      <c r="BI44" s="238"/>
      <c r="BJ44" s="238"/>
      <c r="BK44" s="238"/>
      <c r="BL44" s="238">
        <f>SUM(BL28:BL43)</f>
        <v>97845618.66666667</v>
      </c>
      <c r="BM44" s="238"/>
      <c r="BN44" s="238"/>
      <c r="BO44" s="238"/>
      <c r="BP44" s="238"/>
      <c r="BQ44" s="238"/>
      <c r="BR44" s="238">
        <f>SUM(BR28:BR43)</f>
        <v>98660910.33333333</v>
      </c>
      <c r="BS44" s="238"/>
      <c r="BT44" s="238"/>
      <c r="BU44" s="238"/>
      <c r="BV44" s="238"/>
      <c r="BW44" s="238"/>
      <c r="BX44" s="238">
        <f>SUM(BX28:BX43)</f>
        <v>99376202</v>
      </c>
      <c r="BY44" s="238"/>
      <c r="BZ44" s="239"/>
      <c r="CA44" s="238"/>
      <c r="CB44" s="237">
        <f>SUM(CB28:CB43)</f>
        <v>99376202</v>
      </c>
    </row>
    <row r="45" spans="3:80" ht="13.5" thickTop="1"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5"/>
      <c r="CA45" s="234"/>
      <c r="CB45" s="234"/>
    </row>
    <row r="46" spans="2:80" ht="12.75">
      <c r="B46" s="229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5"/>
      <c r="CA46" s="234"/>
      <c r="CB46" s="234"/>
    </row>
    <row r="47" spans="2:80" ht="12.75">
      <c r="B47" s="229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5"/>
      <c r="CA47" s="234"/>
      <c r="CB47" s="234"/>
    </row>
    <row r="48" spans="2:80" ht="12.75">
      <c r="B48" s="229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5"/>
      <c r="CA48" s="234"/>
      <c r="CB48" s="234"/>
    </row>
    <row r="49" spans="2:80" ht="12.75">
      <c r="B49" s="229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5"/>
      <c r="CA49" s="234"/>
      <c r="CB49" s="234"/>
    </row>
    <row r="50" ht="12.75">
      <c r="B50" s="229"/>
    </row>
  </sheetData>
  <sheetProtection/>
  <mergeCells count="64">
    <mergeCell ref="L6:Q6"/>
    <mergeCell ref="R6:W6"/>
    <mergeCell ref="X6:AC6"/>
    <mergeCell ref="AD6:AI6"/>
    <mergeCell ref="AV7:BA7"/>
    <mergeCell ref="BB7:BG7"/>
    <mergeCell ref="BH7:BM7"/>
    <mergeCell ref="BN7:BS7"/>
    <mergeCell ref="BT7:BY7"/>
    <mergeCell ref="AJ6:AO6"/>
    <mergeCell ref="AP6:AU6"/>
    <mergeCell ref="AV6:BA6"/>
    <mergeCell ref="BB6:BG6"/>
    <mergeCell ref="BH6:BM6"/>
    <mergeCell ref="AD23:AF23"/>
    <mergeCell ref="BN6:BS6"/>
    <mergeCell ref="BT6:BY6"/>
    <mergeCell ref="BZ6:CB6"/>
    <mergeCell ref="L7:Q7"/>
    <mergeCell ref="R7:W7"/>
    <mergeCell ref="X7:AC7"/>
    <mergeCell ref="AD7:AI7"/>
    <mergeCell ref="AJ7:AO7"/>
    <mergeCell ref="AP7:AU7"/>
    <mergeCell ref="BT23:BV23"/>
    <mergeCell ref="BZ23:CA23"/>
    <mergeCell ref="BH24:BM24"/>
    <mergeCell ref="BN24:BS24"/>
    <mergeCell ref="BT24:BY24"/>
    <mergeCell ref="AJ23:AL23"/>
    <mergeCell ref="AP23:AR23"/>
    <mergeCell ref="AV23:AX23"/>
    <mergeCell ref="BB23:BD23"/>
    <mergeCell ref="BH23:BJ23"/>
    <mergeCell ref="C24:J24"/>
    <mergeCell ref="L24:Q24"/>
    <mergeCell ref="R24:W24"/>
    <mergeCell ref="X24:AC24"/>
    <mergeCell ref="AD24:AI24"/>
    <mergeCell ref="BN23:BP23"/>
    <mergeCell ref="C23:F23"/>
    <mergeCell ref="L23:N23"/>
    <mergeCell ref="R23:T23"/>
    <mergeCell ref="X23:Z23"/>
    <mergeCell ref="BT25:BY25"/>
    <mergeCell ref="BZ24:CB24"/>
    <mergeCell ref="L25:Q25"/>
    <mergeCell ref="R25:W25"/>
    <mergeCell ref="X25:AC25"/>
    <mergeCell ref="AD25:AI25"/>
    <mergeCell ref="AJ25:AO25"/>
    <mergeCell ref="AJ24:AO24"/>
    <mergeCell ref="AP25:AU25"/>
    <mergeCell ref="AV25:BA25"/>
    <mergeCell ref="A4:I4"/>
    <mergeCell ref="C25:J25"/>
    <mergeCell ref="C7:J7"/>
    <mergeCell ref="C6:J6"/>
    <mergeCell ref="BH25:BM25"/>
    <mergeCell ref="BN25:BS25"/>
    <mergeCell ref="BB25:BG25"/>
    <mergeCell ref="AP24:AU24"/>
    <mergeCell ref="AV24:BA24"/>
    <mergeCell ref="BB24:BG24"/>
  </mergeCells>
  <printOptions/>
  <pageMargins left="0.35433070866141736" right="0.2755905511811024" top="0.31496062992125984" bottom="0.35433070866141736" header="0.1968503937007874" footer="0.1968503937007874"/>
  <pageSetup horizontalDpi="600" verticalDpi="600" orientation="landscape" paperSize="9" scale="95" r:id="rId1"/>
  <headerFooter>
    <oddFooter>&amp;C &amp;P</oddFooter>
  </headerFooter>
  <colBreaks count="6" manualBreakCount="6">
    <brk id="17" min="4" max="43" man="1"/>
    <brk id="28" min="4" max="43" man="1"/>
    <brk id="40" max="65535" man="1"/>
    <brk id="53" min="4" max="43" man="1"/>
    <brk id="65" min="4" max="43" man="1"/>
    <brk id="77" min="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57421875" style="0" customWidth="1"/>
    <col min="2" max="2" width="46.00390625" style="0" customWidth="1"/>
    <col min="3" max="3" width="10.421875" style="0" customWidth="1"/>
    <col min="4" max="4" width="10.8515625" style="0" customWidth="1"/>
    <col min="5" max="5" width="11.28125" style="0" customWidth="1"/>
    <col min="6" max="6" width="12.28125" style="0" customWidth="1"/>
    <col min="7" max="7" width="11.8515625" style="0" customWidth="1"/>
    <col min="8" max="8" width="11.421875" style="0" customWidth="1"/>
    <col min="9" max="9" width="11.00390625" style="0" customWidth="1"/>
    <col min="10" max="10" width="11.8515625" style="0" customWidth="1"/>
    <col min="11" max="11" width="12.28125" style="0" customWidth="1"/>
  </cols>
  <sheetData>
    <row r="1" spans="1:5" ht="17.25">
      <c r="A1" s="361" t="s">
        <v>56</v>
      </c>
      <c r="B1" s="361"/>
      <c r="C1" s="361"/>
      <c r="D1" s="361"/>
      <c r="E1" s="45"/>
    </row>
    <row r="2" spans="1:5" ht="17.25">
      <c r="A2" s="361" t="s">
        <v>126</v>
      </c>
      <c r="B2" s="361"/>
      <c r="C2" s="361"/>
      <c r="D2" s="361"/>
      <c r="E2" s="45"/>
    </row>
    <row r="3" spans="1:5" ht="17.25">
      <c r="A3" s="361" t="s">
        <v>194</v>
      </c>
      <c r="B3" s="361"/>
      <c r="C3" s="361"/>
      <c r="D3" s="361"/>
      <c r="E3" s="45"/>
    </row>
    <row r="4" spans="5:11" ht="12.75">
      <c r="E4" s="1" t="s">
        <v>70</v>
      </c>
      <c r="F4" s="14"/>
      <c r="J4" s="45" t="s">
        <v>77</v>
      </c>
      <c r="K4" s="45"/>
    </row>
    <row r="5" spans="1:11" ht="12.75">
      <c r="A5" s="362"/>
      <c r="B5" s="362"/>
      <c r="C5" s="362"/>
      <c r="D5" s="362"/>
      <c r="E5" s="363">
        <v>2012</v>
      </c>
      <c r="F5" s="364"/>
      <c r="G5" s="362"/>
      <c r="H5" s="362"/>
      <c r="I5" s="367"/>
      <c r="J5" s="377" t="s">
        <v>167</v>
      </c>
      <c r="K5" s="365"/>
    </row>
    <row r="6" spans="1:11" ht="12.75">
      <c r="A6" s="362"/>
      <c r="B6" s="362"/>
      <c r="C6" s="365" t="s">
        <v>79</v>
      </c>
      <c r="D6" s="365" t="s">
        <v>80</v>
      </c>
      <c r="E6" s="365" t="s">
        <v>81</v>
      </c>
      <c r="F6" s="365" t="s">
        <v>196</v>
      </c>
      <c r="G6" s="365" t="s">
        <v>158</v>
      </c>
      <c r="H6" s="365" t="s">
        <v>84</v>
      </c>
      <c r="I6" s="368" t="s">
        <v>85</v>
      </c>
      <c r="J6" s="377" t="s">
        <v>86</v>
      </c>
      <c r="K6" s="365" t="s">
        <v>87</v>
      </c>
    </row>
    <row r="7" spans="1:11" ht="12.75">
      <c r="A7" s="365" t="s">
        <v>88</v>
      </c>
      <c r="B7" s="365" t="s">
        <v>89</v>
      </c>
      <c r="C7" s="362"/>
      <c r="D7" s="362"/>
      <c r="E7" s="362"/>
      <c r="F7" s="362"/>
      <c r="G7" s="362"/>
      <c r="H7" s="362"/>
      <c r="I7" s="367"/>
      <c r="J7" s="378"/>
      <c r="K7" s="362"/>
    </row>
    <row r="8" spans="1:11" ht="12.75">
      <c r="A8" s="362"/>
      <c r="B8" s="366" t="s">
        <v>92</v>
      </c>
      <c r="C8" s="362"/>
      <c r="D8" s="362"/>
      <c r="E8" s="362"/>
      <c r="F8" s="362"/>
      <c r="G8" s="362"/>
      <c r="H8" s="362"/>
      <c r="I8" s="367"/>
      <c r="J8" s="378"/>
      <c r="K8" s="362"/>
    </row>
    <row r="9" spans="1:11" ht="12.75">
      <c r="A9" s="362"/>
      <c r="B9" s="362"/>
      <c r="C9" s="362"/>
      <c r="D9" s="362"/>
      <c r="E9" s="362"/>
      <c r="F9" s="362"/>
      <c r="G9" s="362"/>
      <c r="H9" s="362"/>
      <c r="I9" s="367"/>
      <c r="J9" s="378"/>
      <c r="K9" s="362"/>
    </row>
    <row r="10" spans="1:11" ht="15">
      <c r="A10" s="369" t="s">
        <v>93</v>
      </c>
      <c r="B10" s="362" t="s">
        <v>94</v>
      </c>
      <c r="C10" s="370">
        <v>5556455</v>
      </c>
      <c r="D10" s="370">
        <f>EXP!D9</f>
        <v>4686046</v>
      </c>
      <c r="E10" s="371">
        <v>0</v>
      </c>
      <c r="F10" s="371">
        <v>0</v>
      </c>
      <c r="G10" s="370">
        <f>G27+G28+G30+G32+(G33*0.65)</f>
        <v>71490725</v>
      </c>
      <c r="H10" s="379">
        <v>70855727</v>
      </c>
      <c r="I10" s="370">
        <v>11112910</v>
      </c>
      <c r="J10" s="288">
        <v>0</v>
      </c>
      <c r="K10" s="370">
        <v>97852950</v>
      </c>
    </row>
    <row r="11" spans="1:11" ht="12.75">
      <c r="A11" s="372" t="s">
        <v>95</v>
      </c>
      <c r="B11" s="362" t="s">
        <v>148</v>
      </c>
      <c r="C11" s="370">
        <v>3805770</v>
      </c>
      <c r="D11" s="370">
        <f>EXP!D16</f>
        <v>3125053</v>
      </c>
      <c r="E11" s="370">
        <v>1617447</v>
      </c>
      <c r="F11" s="370">
        <v>683821</v>
      </c>
      <c r="G11" s="370">
        <f>G34+(G33*0.35)</f>
        <v>718750</v>
      </c>
      <c r="H11" s="379">
        <v>227129</v>
      </c>
      <c r="I11" s="370">
        <v>8713539</v>
      </c>
      <c r="J11" s="370">
        <v>1102000</v>
      </c>
      <c r="K11" s="370">
        <v>1300000</v>
      </c>
    </row>
    <row r="12" spans="1:11" ht="12.75">
      <c r="A12" s="373" t="s">
        <v>96</v>
      </c>
      <c r="B12" s="362" t="s">
        <v>41</v>
      </c>
      <c r="C12" s="370">
        <v>7001607</v>
      </c>
      <c r="D12" s="370">
        <f>EXP!D22</f>
        <v>5942790</v>
      </c>
      <c r="E12" s="370">
        <v>9272591</v>
      </c>
      <c r="F12" s="370">
        <v>1632003</v>
      </c>
      <c r="G12" s="370">
        <f>G36</f>
        <v>33333</v>
      </c>
      <c r="H12" s="379">
        <v>16608</v>
      </c>
      <c r="I12" s="370">
        <v>17696214</v>
      </c>
      <c r="J12" s="370">
        <v>7500000</v>
      </c>
      <c r="K12" s="370">
        <v>200000</v>
      </c>
    </row>
    <row r="13" spans="1:11" ht="15">
      <c r="A13" s="373" t="s">
        <v>97</v>
      </c>
      <c r="B13" s="362" t="s">
        <v>149</v>
      </c>
      <c r="C13" s="370">
        <v>2193232</v>
      </c>
      <c r="D13" s="370">
        <f>EXP!D28</f>
        <v>1892500</v>
      </c>
      <c r="E13" s="370">
        <v>1807316</v>
      </c>
      <c r="F13" s="370">
        <v>1125016</v>
      </c>
      <c r="G13" s="371">
        <v>0</v>
      </c>
      <c r="H13" s="380">
        <v>0</v>
      </c>
      <c r="I13" s="370">
        <v>7036464</v>
      </c>
      <c r="J13" s="370">
        <v>2650000</v>
      </c>
      <c r="K13" s="288">
        <v>0</v>
      </c>
    </row>
    <row r="14" spans="1:11" ht="12.75">
      <c r="A14" s="373" t="s">
        <v>98</v>
      </c>
      <c r="B14" s="362" t="s">
        <v>44</v>
      </c>
      <c r="C14" s="370">
        <v>1447752</v>
      </c>
      <c r="D14" s="370">
        <f>EXP!D34</f>
        <v>811361</v>
      </c>
      <c r="E14" s="370">
        <v>11222508</v>
      </c>
      <c r="F14" s="370">
        <v>7697879</v>
      </c>
      <c r="G14" s="370">
        <f>G37</f>
        <v>500000</v>
      </c>
      <c r="H14" s="379">
        <v>303645</v>
      </c>
      <c r="I14" s="370">
        <v>15133504</v>
      </c>
      <c r="J14" s="370">
        <v>12238000</v>
      </c>
      <c r="K14" s="370">
        <v>1000000</v>
      </c>
    </row>
    <row r="15" spans="1:11" ht="15">
      <c r="A15" s="373" t="s">
        <v>160</v>
      </c>
      <c r="B15" s="362" t="s">
        <v>45</v>
      </c>
      <c r="C15" s="370">
        <v>7340435</v>
      </c>
      <c r="D15" s="370">
        <f>EXP!D40</f>
        <v>6373988</v>
      </c>
      <c r="E15" s="370">
        <v>5100000</v>
      </c>
      <c r="F15" s="370">
        <v>2742810</v>
      </c>
      <c r="G15" s="371">
        <v>0</v>
      </c>
      <c r="H15" s="385">
        <v>15337</v>
      </c>
      <c r="I15" s="370">
        <v>21980870</v>
      </c>
      <c r="J15" s="370">
        <v>7300000</v>
      </c>
      <c r="K15" s="288">
        <v>0</v>
      </c>
    </row>
    <row r="16" spans="1:11" ht="15">
      <c r="A16" s="373" t="s">
        <v>161</v>
      </c>
      <c r="B16" s="362" t="s">
        <v>47</v>
      </c>
      <c r="C16" s="370">
        <v>1289745</v>
      </c>
      <c r="D16" s="370">
        <f>EXP!D47</f>
        <v>987982</v>
      </c>
      <c r="E16" s="288">
        <v>350000</v>
      </c>
      <c r="F16" s="370">
        <v>2313</v>
      </c>
      <c r="G16" s="371">
        <v>0</v>
      </c>
      <c r="H16" s="380">
        <v>0</v>
      </c>
      <c r="I16" s="370">
        <v>2639490</v>
      </c>
      <c r="J16" s="288">
        <v>550000</v>
      </c>
      <c r="K16" s="288">
        <v>0</v>
      </c>
    </row>
    <row r="17" spans="1:11" ht="15">
      <c r="A17" s="373" t="s">
        <v>99</v>
      </c>
      <c r="B17" s="362" t="s">
        <v>23</v>
      </c>
      <c r="C17" s="370">
        <v>12586650</v>
      </c>
      <c r="D17" s="370">
        <f>EXP!D53</f>
        <v>6590561</v>
      </c>
      <c r="E17" s="370">
        <v>1971781</v>
      </c>
      <c r="F17" s="370">
        <v>2406768</v>
      </c>
      <c r="G17" s="371">
        <v>0</v>
      </c>
      <c r="H17" s="385">
        <v>1977</v>
      </c>
      <c r="I17" s="370">
        <v>26068300</v>
      </c>
      <c r="J17" s="370">
        <v>6710000</v>
      </c>
      <c r="K17" s="288">
        <v>0</v>
      </c>
    </row>
    <row r="18" spans="1:11" ht="15">
      <c r="A18" s="373" t="s">
        <v>100</v>
      </c>
      <c r="B18" s="362" t="s">
        <v>150</v>
      </c>
      <c r="C18" s="370">
        <v>7645956</v>
      </c>
      <c r="D18" s="370">
        <f>EXP!D61</f>
        <v>7220619</v>
      </c>
      <c r="E18" s="383">
        <v>1060000</v>
      </c>
      <c r="F18" s="370">
        <v>64864</v>
      </c>
      <c r="G18" s="370">
        <f>G35</f>
        <v>4386000</v>
      </c>
      <c r="H18" s="380">
        <v>0</v>
      </c>
      <c r="I18" s="370">
        <v>17591912</v>
      </c>
      <c r="J18" s="288">
        <v>2300000</v>
      </c>
      <c r="K18" s="370">
        <v>8772000</v>
      </c>
    </row>
    <row r="19" spans="1:11" ht="12.75">
      <c r="A19" s="373" t="s">
        <v>101</v>
      </c>
      <c r="B19" s="362" t="s">
        <v>55</v>
      </c>
      <c r="C19" s="370">
        <v>1966083</v>
      </c>
      <c r="D19" s="370">
        <f>EXP!D69</f>
        <v>1666829</v>
      </c>
      <c r="E19" s="383">
        <v>0</v>
      </c>
      <c r="F19" s="383">
        <v>0</v>
      </c>
      <c r="G19" s="370">
        <f>G26+G29</f>
        <v>372500</v>
      </c>
      <c r="H19" s="379">
        <v>375653</v>
      </c>
      <c r="I19" s="370">
        <v>3932166</v>
      </c>
      <c r="J19" s="288">
        <v>0</v>
      </c>
      <c r="K19" s="370">
        <v>745000</v>
      </c>
    </row>
    <row r="20" spans="1:11" ht="12.75">
      <c r="A20" s="362"/>
      <c r="B20" s="365" t="s">
        <v>151</v>
      </c>
      <c r="C20" s="374">
        <f aca="true" t="shared" si="0" ref="C20:H20">SUM(C10:C19)</f>
        <v>50833685</v>
      </c>
      <c r="D20" s="374">
        <f t="shared" si="0"/>
        <v>39297729</v>
      </c>
      <c r="E20" s="375">
        <f>SUM(E10:E19)</f>
        <v>32401643</v>
      </c>
      <c r="F20" s="375">
        <f>SUM(F10:F19)</f>
        <v>16355474</v>
      </c>
      <c r="G20" s="374">
        <f t="shared" si="0"/>
        <v>77501308</v>
      </c>
      <c r="H20" s="381">
        <f t="shared" si="0"/>
        <v>71796076</v>
      </c>
      <c r="I20" s="374">
        <f>SUM(I10:I19)</f>
        <v>131905369</v>
      </c>
      <c r="J20" s="375">
        <f>SUM(J10:J19)</f>
        <v>40350000</v>
      </c>
      <c r="K20" s="374">
        <f>SUM(K10:K19)</f>
        <v>109869950</v>
      </c>
    </row>
    <row r="21" spans="1:11" ht="12.75">
      <c r="A21" s="362"/>
      <c r="B21" s="362"/>
      <c r="C21" s="362"/>
      <c r="D21" s="374">
        <f>SUM(C20:D20)</f>
        <v>90131414</v>
      </c>
      <c r="E21" s="365"/>
      <c r="F21" s="365"/>
      <c r="G21" s="374">
        <f>G39</f>
        <v>77501308</v>
      </c>
      <c r="H21" s="377"/>
      <c r="I21" s="374">
        <f>SUM(I20:J20)</f>
        <v>172255369</v>
      </c>
      <c r="J21" s="362"/>
      <c r="K21" s="362"/>
    </row>
    <row r="22" spans="1:11" ht="12.75">
      <c r="A22" s="362"/>
      <c r="B22" s="365" t="s">
        <v>102</v>
      </c>
      <c r="C22" s="362"/>
      <c r="D22" s="362"/>
      <c r="E22" s="1" t="s">
        <v>70</v>
      </c>
      <c r="F22" s="364"/>
      <c r="G22" s="362"/>
      <c r="H22" s="378"/>
      <c r="I22" s="362"/>
      <c r="J22" s="365" t="s">
        <v>103</v>
      </c>
      <c r="K22" s="362"/>
    </row>
    <row r="23" spans="5:11" ht="12.75">
      <c r="E23" s="1">
        <v>2012</v>
      </c>
      <c r="F23" s="14"/>
      <c r="I23" s="362"/>
      <c r="J23" s="365" t="s">
        <v>159</v>
      </c>
      <c r="K23" s="362"/>
    </row>
    <row r="24" spans="1:11" ht="12.75">
      <c r="A24" s="362"/>
      <c r="B24" s="362"/>
      <c r="C24" s="365" t="s">
        <v>79</v>
      </c>
      <c r="D24" s="365" t="s">
        <v>80</v>
      </c>
      <c r="E24" s="365" t="s">
        <v>104</v>
      </c>
      <c r="F24" s="365" t="s">
        <v>82</v>
      </c>
      <c r="G24" s="365" t="s">
        <v>158</v>
      </c>
      <c r="H24" s="377" t="s">
        <v>84</v>
      </c>
      <c r="I24" s="365" t="s">
        <v>85</v>
      </c>
      <c r="J24" s="365" t="s">
        <v>105</v>
      </c>
      <c r="K24" s="365" t="s">
        <v>87</v>
      </c>
    </row>
    <row r="25" spans="1:11" ht="12.75">
      <c r="A25" s="365" t="s">
        <v>88</v>
      </c>
      <c r="B25" s="365" t="s">
        <v>89</v>
      </c>
      <c r="C25" s="362"/>
      <c r="D25" s="362"/>
      <c r="E25" s="362"/>
      <c r="F25" s="362"/>
      <c r="G25" s="362"/>
      <c r="H25" s="378"/>
      <c r="I25" s="362"/>
      <c r="J25" s="362"/>
      <c r="K25" s="362"/>
    </row>
    <row r="26" spans="1:11" ht="12.75">
      <c r="A26" s="373" t="s">
        <v>101</v>
      </c>
      <c r="B26" s="376" t="s">
        <v>152</v>
      </c>
      <c r="C26" s="362"/>
      <c r="D26" s="362"/>
      <c r="E26" s="362"/>
      <c r="F26" s="362"/>
      <c r="G26" s="370">
        <f>(745000-10000)/12*6</f>
        <v>367500</v>
      </c>
      <c r="H26" s="379">
        <f>REV!D33-13016</f>
        <v>362638</v>
      </c>
      <c r="I26" s="362"/>
      <c r="J26" s="362"/>
      <c r="K26" s="370">
        <v>735000</v>
      </c>
    </row>
    <row r="27" spans="1:11" ht="12.75">
      <c r="A27" s="373" t="s">
        <v>93</v>
      </c>
      <c r="B27" s="376" t="s">
        <v>106</v>
      </c>
      <c r="C27" s="362"/>
      <c r="D27" s="362"/>
      <c r="E27" s="362"/>
      <c r="F27" s="362"/>
      <c r="G27" s="370">
        <f>6000000/12*6</f>
        <v>3000000</v>
      </c>
      <c r="H27" s="379">
        <f>REV!D32</f>
        <v>2516705</v>
      </c>
      <c r="I27" s="362"/>
      <c r="J27" s="362"/>
      <c r="K27" s="370">
        <v>6000000</v>
      </c>
    </row>
    <row r="28" spans="1:11" ht="12.75">
      <c r="A28" s="373" t="s">
        <v>93</v>
      </c>
      <c r="B28" s="376" t="s">
        <v>153</v>
      </c>
      <c r="C28" s="362"/>
      <c r="D28" s="362"/>
      <c r="E28" s="362"/>
      <c r="F28" s="362"/>
      <c r="G28" s="370">
        <f>300000/12*6</f>
        <v>150000</v>
      </c>
      <c r="H28" s="379">
        <f>REV!D31</f>
        <v>127007</v>
      </c>
      <c r="I28" s="362"/>
      <c r="J28" s="362"/>
      <c r="K28" s="370">
        <v>300000</v>
      </c>
    </row>
    <row r="29" spans="1:11" ht="12.75">
      <c r="A29" s="373" t="s">
        <v>101</v>
      </c>
      <c r="B29" s="376" t="s">
        <v>154</v>
      </c>
      <c r="C29" s="362"/>
      <c r="D29" s="362"/>
      <c r="E29" s="362"/>
      <c r="F29" s="362"/>
      <c r="G29" s="370">
        <f>10000/12*6</f>
        <v>5000</v>
      </c>
      <c r="H29" s="379">
        <f>375654-362638</f>
        <v>13016</v>
      </c>
      <c r="I29" s="362"/>
      <c r="J29" s="362"/>
      <c r="K29" s="370">
        <v>10000</v>
      </c>
    </row>
    <row r="30" spans="1:11" ht="12.75">
      <c r="A30" s="373" t="s">
        <v>93</v>
      </c>
      <c r="B30" s="376" t="s">
        <v>155</v>
      </c>
      <c r="C30" s="362"/>
      <c r="D30" s="362"/>
      <c r="E30" s="362"/>
      <c r="F30" s="362"/>
      <c r="G30" s="370">
        <f>72950/12*6</f>
        <v>36475</v>
      </c>
      <c r="H30" s="379">
        <f>REV!D34</f>
        <v>203564</v>
      </c>
      <c r="I30" s="362"/>
      <c r="J30" s="362"/>
      <c r="K30" s="370">
        <v>72950</v>
      </c>
    </row>
    <row r="31" spans="1:11" ht="15">
      <c r="A31" s="373" t="s">
        <v>99</v>
      </c>
      <c r="B31" s="376" t="s">
        <v>23</v>
      </c>
      <c r="C31" s="362"/>
      <c r="D31" s="362"/>
      <c r="E31" s="362"/>
      <c r="F31" s="362"/>
      <c r="G31" s="371">
        <v>0</v>
      </c>
      <c r="H31" s="379">
        <f>REV!D35</f>
        <v>0</v>
      </c>
      <c r="I31" s="362"/>
      <c r="J31" s="362"/>
      <c r="K31" s="288">
        <v>0</v>
      </c>
    </row>
    <row r="32" spans="1:11" ht="12.75">
      <c r="A32" s="373" t="s">
        <v>93</v>
      </c>
      <c r="B32" s="376" t="s">
        <v>132</v>
      </c>
      <c r="C32" s="362"/>
      <c r="D32" s="362"/>
      <c r="E32" s="362"/>
      <c r="F32" s="362"/>
      <c r="G32" s="370">
        <v>67898000</v>
      </c>
      <c r="H32" s="379">
        <f>REV!D11</f>
        <v>67898000</v>
      </c>
      <c r="I32" s="362"/>
      <c r="J32" s="362"/>
      <c r="K32" s="370">
        <v>90530000</v>
      </c>
    </row>
    <row r="33" spans="1:11" ht="12.75">
      <c r="A33" s="373" t="s">
        <v>93</v>
      </c>
      <c r="B33" s="376" t="s">
        <v>107</v>
      </c>
      <c r="C33" s="362"/>
      <c r="D33" s="362"/>
      <c r="E33" s="362"/>
      <c r="F33" s="362"/>
      <c r="G33" s="370">
        <f>1250000/12*6</f>
        <v>625000</v>
      </c>
      <c r="H33" s="379">
        <f>REV!D13</f>
        <v>276279</v>
      </c>
      <c r="I33" s="362"/>
      <c r="J33" s="362"/>
      <c r="K33" s="370">
        <v>1250000</v>
      </c>
    </row>
    <row r="34" spans="1:11" ht="12.75">
      <c r="A34" s="373" t="s">
        <v>95</v>
      </c>
      <c r="B34" s="376" t="s">
        <v>108</v>
      </c>
      <c r="C34" s="362"/>
      <c r="D34" s="362"/>
      <c r="E34" s="362"/>
      <c r="F34" s="362"/>
      <c r="G34" s="370">
        <f>1000000/12*6</f>
        <v>500000</v>
      </c>
      <c r="H34" s="379">
        <f>REV!D12</f>
        <v>78614</v>
      </c>
      <c r="I34" s="362"/>
      <c r="J34" s="362"/>
      <c r="K34" s="370">
        <v>1000000</v>
      </c>
    </row>
    <row r="35" spans="1:11" ht="12.75">
      <c r="A35" s="373" t="s">
        <v>100</v>
      </c>
      <c r="B35" s="376" t="s">
        <v>156</v>
      </c>
      <c r="C35" s="362"/>
      <c r="D35" s="362"/>
      <c r="E35" s="362"/>
      <c r="F35" s="362"/>
      <c r="G35" s="370">
        <v>4386000</v>
      </c>
      <c r="H35" s="379">
        <f>REV!D14</f>
        <v>0</v>
      </c>
      <c r="I35" s="362"/>
      <c r="J35" s="362"/>
      <c r="K35" s="370">
        <v>8772000</v>
      </c>
    </row>
    <row r="36" spans="1:11" ht="12.75">
      <c r="A36" s="373" t="s">
        <v>96</v>
      </c>
      <c r="B36" s="376" t="s">
        <v>157</v>
      </c>
      <c r="C36" s="362"/>
      <c r="D36" s="362"/>
      <c r="E36" s="362"/>
      <c r="F36" s="362"/>
      <c r="G36" s="370">
        <v>33333</v>
      </c>
      <c r="H36" s="379">
        <f>REV!D24</f>
        <v>16608</v>
      </c>
      <c r="I36" s="362"/>
      <c r="J36" s="362"/>
      <c r="K36" s="370">
        <v>200000</v>
      </c>
    </row>
    <row r="37" spans="1:11" ht="12.75">
      <c r="A37" s="373" t="s">
        <v>98</v>
      </c>
      <c r="B37" s="376" t="s">
        <v>173</v>
      </c>
      <c r="C37" s="362"/>
      <c r="D37" s="362"/>
      <c r="E37" s="362"/>
      <c r="F37" s="362"/>
      <c r="G37" s="370">
        <f>1000000/12*6</f>
        <v>500000</v>
      </c>
      <c r="H37" s="379">
        <f>REV!D25</f>
        <v>303645</v>
      </c>
      <c r="I37" s="362"/>
      <c r="J37" s="362"/>
      <c r="K37" s="370">
        <v>1000000</v>
      </c>
    </row>
    <row r="38" spans="1:11" ht="15">
      <c r="A38" s="373"/>
      <c r="B38" s="376"/>
      <c r="C38" s="362"/>
      <c r="D38" s="362"/>
      <c r="E38" s="362"/>
      <c r="F38" s="362"/>
      <c r="G38" s="370"/>
      <c r="H38" s="380"/>
      <c r="I38" s="362"/>
      <c r="J38" s="362"/>
      <c r="K38" s="370"/>
    </row>
    <row r="39" spans="1:11" ht="12.75">
      <c r="A39" s="362"/>
      <c r="B39" s="365" t="s">
        <v>109</v>
      </c>
      <c r="C39" s="362"/>
      <c r="D39" s="362"/>
      <c r="E39" s="362"/>
      <c r="F39" s="362"/>
      <c r="G39" s="374">
        <f>SUM(G26:G38)</f>
        <v>77501308</v>
      </c>
      <c r="H39" s="381">
        <f>SUM(H26:H38)</f>
        <v>71796076</v>
      </c>
      <c r="I39" s="362"/>
      <c r="J39" s="362"/>
      <c r="K39" s="374">
        <f>SUM(K26:K38)</f>
        <v>109869950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7">
      <selection activeCell="G30" sqref="G30"/>
    </sheetView>
  </sheetViews>
  <sheetFormatPr defaultColWidth="9.140625" defaultRowHeight="12.75"/>
  <cols>
    <col min="1" max="1" width="5.28125" style="14" customWidth="1"/>
    <col min="2" max="2" width="31.57421875" style="0" customWidth="1"/>
    <col min="3" max="3" width="11.140625" style="0" customWidth="1"/>
    <col min="4" max="4" width="11.57421875" style="0" customWidth="1"/>
    <col min="5" max="5" width="15.421875" style="0" hidden="1" customWidth="1"/>
    <col min="6" max="6" width="12.28125" style="0" customWidth="1"/>
    <col min="7" max="7" width="11.57421875" style="0" customWidth="1"/>
    <col min="8" max="8" width="9.8515625" style="0" customWidth="1"/>
  </cols>
  <sheetData>
    <row r="1" spans="1:8" ht="17.25">
      <c r="A1" s="386" t="s">
        <v>64</v>
      </c>
      <c r="B1" s="386"/>
      <c r="C1" s="386"/>
      <c r="D1" s="386"/>
      <c r="E1" s="386"/>
      <c r="F1" s="386"/>
      <c r="G1" s="386"/>
      <c r="H1" s="386"/>
    </row>
    <row r="2" spans="1:8" ht="15">
      <c r="A2" s="387" t="s">
        <v>172</v>
      </c>
      <c r="B2" s="387"/>
      <c r="C2" s="387"/>
      <c r="D2" s="387"/>
      <c r="E2" s="387"/>
      <c r="F2" s="387"/>
      <c r="G2" s="387"/>
      <c r="H2" s="387"/>
    </row>
    <row r="3" spans="1:11" ht="15">
      <c r="A3" s="387" t="s">
        <v>179</v>
      </c>
      <c r="B3" s="387"/>
      <c r="C3" s="387"/>
      <c r="D3" s="387"/>
      <c r="E3" s="387"/>
      <c r="F3" s="387"/>
      <c r="G3" s="387"/>
      <c r="H3" s="387"/>
      <c r="I3" s="41"/>
      <c r="J3" s="41"/>
      <c r="K3" s="41"/>
    </row>
    <row r="4" ht="13.5" thickBot="1"/>
    <row r="5" spans="1:8" ht="42" thickBot="1">
      <c r="A5" s="341" t="s">
        <v>146</v>
      </c>
      <c r="B5" s="342" t="s">
        <v>57</v>
      </c>
      <c r="C5" s="338" t="s">
        <v>165</v>
      </c>
      <c r="D5" s="334" t="s">
        <v>143</v>
      </c>
      <c r="E5" s="334"/>
      <c r="F5" s="334" t="s">
        <v>144</v>
      </c>
      <c r="G5" s="334" t="s">
        <v>58</v>
      </c>
      <c r="H5" s="335" t="s">
        <v>59</v>
      </c>
    </row>
    <row r="6" spans="1:8" ht="13.5">
      <c r="A6" s="343"/>
      <c r="B6" s="344"/>
      <c r="C6" s="339"/>
      <c r="D6" s="336"/>
      <c r="E6" s="336"/>
      <c r="F6" s="336"/>
      <c r="G6" s="336"/>
      <c r="H6" s="337"/>
    </row>
    <row r="7" spans="1:8" s="405" customFormat="1" ht="27">
      <c r="A7" s="400">
        <v>1</v>
      </c>
      <c r="B7" s="401" t="s">
        <v>145</v>
      </c>
      <c r="C7" s="402">
        <v>2850000</v>
      </c>
      <c r="D7" s="216">
        <v>0</v>
      </c>
      <c r="E7" s="403"/>
      <c r="F7" s="403">
        <f>SUM(C7:E7)</f>
        <v>2850000</v>
      </c>
      <c r="G7" s="403">
        <v>67176</v>
      </c>
      <c r="H7" s="404">
        <f>G7/F7</f>
        <v>0.023570526315789472</v>
      </c>
    </row>
    <row r="8" spans="1:8" s="405" customFormat="1" ht="13.5">
      <c r="A8" s="400"/>
      <c r="B8" s="401"/>
      <c r="C8" s="402"/>
      <c r="D8" s="403"/>
      <c r="E8" s="403"/>
      <c r="F8" s="403"/>
      <c r="G8" s="403" t="s">
        <v>8</v>
      </c>
      <c r="H8" s="406"/>
    </row>
    <row r="9" spans="1:8" s="405" customFormat="1" ht="13.5">
      <c r="A9" s="400">
        <v>2</v>
      </c>
      <c r="B9" s="401" t="s">
        <v>61</v>
      </c>
      <c r="C9" s="402">
        <v>6723226</v>
      </c>
      <c r="D9" s="402">
        <v>8084308</v>
      </c>
      <c r="E9" s="288"/>
      <c r="F9" s="403">
        <f>SUM(C9:E9)</f>
        <v>14807534</v>
      </c>
      <c r="G9" s="403">
        <v>2406768</v>
      </c>
      <c r="H9" s="404">
        <f>G9/F9</f>
        <v>0.16253671948347376</v>
      </c>
    </row>
    <row r="10" spans="1:8" s="405" customFormat="1" ht="13.5">
      <c r="A10" s="400"/>
      <c r="B10" s="401"/>
      <c r="C10" s="402"/>
      <c r="D10" s="403"/>
      <c r="E10" s="403"/>
      <c r="F10" s="403"/>
      <c r="G10" s="403"/>
      <c r="H10" s="404"/>
    </row>
    <row r="11" spans="1:8" s="405" customFormat="1" ht="13.5" hidden="1">
      <c r="A11" s="400"/>
      <c r="B11" s="401"/>
      <c r="C11" s="340"/>
      <c r="D11" s="403"/>
      <c r="E11" s="288"/>
      <c r="F11" s="403"/>
      <c r="G11" s="403"/>
      <c r="H11" s="404"/>
    </row>
    <row r="12" spans="1:8" s="405" customFormat="1" ht="13.5" hidden="1">
      <c r="A12" s="400"/>
      <c r="B12" s="401"/>
      <c r="C12" s="402"/>
      <c r="D12" s="403"/>
      <c r="E12" s="403"/>
      <c r="F12" s="403"/>
      <c r="G12" s="288"/>
      <c r="H12" s="404"/>
    </row>
    <row r="13" spans="1:8" s="405" customFormat="1" ht="27">
      <c r="A13" s="400">
        <v>3</v>
      </c>
      <c r="B13" s="401" t="s">
        <v>171</v>
      </c>
      <c r="C13" s="402">
        <v>1600000</v>
      </c>
      <c r="D13" s="403">
        <v>2631539</v>
      </c>
      <c r="E13" s="403"/>
      <c r="F13" s="403">
        <f>SUM(C13:E13)</f>
        <v>4231539</v>
      </c>
      <c r="G13" s="403">
        <v>790246</v>
      </c>
      <c r="H13" s="404">
        <f>G13/F13</f>
        <v>0.186751439606252</v>
      </c>
    </row>
    <row r="14" spans="1:8" s="405" customFormat="1" ht="13.5">
      <c r="A14" s="400"/>
      <c r="B14" s="401"/>
      <c r="C14" s="402"/>
      <c r="D14" s="403"/>
      <c r="E14" s="403"/>
      <c r="F14" s="403"/>
      <c r="G14" s="288"/>
      <c r="H14" s="404"/>
    </row>
    <row r="15" spans="1:8" s="405" customFormat="1" ht="13.5">
      <c r="A15" s="400">
        <v>4</v>
      </c>
      <c r="B15" s="401" t="s">
        <v>134</v>
      </c>
      <c r="C15" s="402">
        <v>4570000</v>
      </c>
      <c r="D15" s="403">
        <v>5040198</v>
      </c>
      <c r="E15" s="288"/>
      <c r="F15" s="403">
        <f>SUM(C15:E15)</f>
        <v>9610198</v>
      </c>
      <c r="G15" s="403">
        <v>3531466</v>
      </c>
      <c r="H15" s="404">
        <f>G15/F15</f>
        <v>0.3674706806248945</v>
      </c>
    </row>
    <row r="16" spans="1:8" s="405" customFormat="1" ht="13.5">
      <c r="A16" s="400"/>
      <c r="B16" s="401"/>
      <c r="C16" s="402"/>
      <c r="D16" s="403"/>
      <c r="E16" s="403"/>
      <c r="F16" s="403"/>
      <c r="G16" s="403"/>
      <c r="H16" s="406"/>
    </row>
    <row r="17" spans="1:8" s="405" customFormat="1" ht="27">
      <c r="A17" s="400">
        <v>5</v>
      </c>
      <c r="B17" s="401" t="s">
        <v>130</v>
      </c>
      <c r="C17" s="402">
        <v>8152257</v>
      </c>
      <c r="D17" s="403">
        <v>6880824</v>
      </c>
      <c r="E17" s="403"/>
      <c r="F17" s="403">
        <f>SUM(C17:E17)</f>
        <v>15033081</v>
      </c>
      <c r="G17" s="403">
        <v>2087274</v>
      </c>
      <c r="H17" s="404">
        <f>G17/F17</f>
        <v>0.13884539037606464</v>
      </c>
    </row>
    <row r="18" spans="1:8" s="405" customFormat="1" ht="13.5">
      <c r="A18" s="400"/>
      <c r="B18" s="401"/>
      <c r="C18" s="402"/>
      <c r="D18" s="403"/>
      <c r="E18" s="403"/>
      <c r="F18" s="403"/>
      <c r="G18" s="403"/>
      <c r="H18" s="404"/>
    </row>
    <row r="19" spans="1:8" s="405" customFormat="1" ht="13.5" hidden="1">
      <c r="A19" s="400"/>
      <c r="B19" s="401"/>
      <c r="C19" s="340"/>
      <c r="D19" s="403"/>
      <c r="E19" s="340"/>
      <c r="F19" s="403"/>
      <c r="G19" s="403"/>
      <c r="H19" s="404"/>
    </row>
    <row r="20" spans="1:8" s="405" customFormat="1" ht="13.5" hidden="1">
      <c r="A20" s="400"/>
      <c r="B20" s="401"/>
      <c r="C20" s="402"/>
      <c r="D20" s="403"/>
      <c r="E20" s="403"/>
      <c r="F20" s="403"/>
      <c r="G20" s="403"/>
      <c r="H20" s="406"/>
    </row>
    <row r="21" spans="1:8" s="405" customFormat="1" ht="27">
      <c r="A21" s="400">
        <v>6</v>
      </c>
      <c r="B21" s="401" t="s">
        <v>131</v>
      </c>
      <c r="C21" s="402">
        <v>6152000</v>
      </c>
      <c r="D21" s="403">
        <v>706166</v>
      </c>
      <c r="E21" s="403"/>
      <c r="F21" s="403">
        <f>SUM(C21:E21)</f>
        <v>6858166</v>
      </c>
      <c r="G21" s="403">
        <v>2279970</v>
      </c>
      <c r="H21" s="404">
        <f>G21/F21</f>
        <v>0.332446021283241</v>
      </c>
    </row>
    <row r="22" spans="1:8" s="405" customFormat="1" ht="13.5">
      <c r="A22" s="400"/>
      <c r="B22" s="401"/>
      <c r="C22" s="402"/>
      <c r="D22" s="403"/>
      <c r="E22" s="403"/>
      <c r="F22" s="403"/>
      <c r="G22" s="403"/>
      <c r="H22" s="404"/>
    </row>
    <row r="23" spans="1:8" s="405" customFormat="1" ht="13.5">
      <c r="A23" s="400">
        <v>7</v>
      </c>
      <c r="B23" s="401" t="s">
        <v>60</v>
      </c>
      <c r="C23" s="402">
        <v>1050000</v>
      </c>
      <c r="D23" s="402">
        <v>318509</v>
      </c>
      <c r="E23" s="340"/>
      <c r="F23" s="403">
        <f>SUM(C23:E23)</f>
        <v>1368509</v>
      </c>
      <c r="G23" s="403">
        <v>334770</v>
      </c>
      <c r="H23" s="404">
        <f>G23/F23</f>
        <v>0.24462389359514625</v>
      </c>
    </row>
    <row r="24" spans="1:8" s="405" customFormat="1" ht="13.5">
      <c r="A24" s="400"/>
      <c r="B24" s="401"/>
      <c r="C24" s="402"/>
      <c r="D24" s="403"/>
      <c r="E24" s="403"/>
      <c r="F24" s="403"/>
      <c r="G24" s="288"/>
      <c r="H24" s="404"/>
    </row>
    <row r="25" spans="1:8" s="405" customFormat="1" ht="13.5">
      <c r="A25" s="400">
        <v>8</v>
      </c>
      <c r="B25" s="401" t="s">
        <v>62</v>
      </c>
      <c r="C25" s="402">
        <v>1600000</v>
      </c>
      <c r="D25" s="288">
        <v>0</v>
      </c>
      <c r="E25" s="403"/>
      <c r="F25" s="403">
        <f>SUM(C25:E25)</f>
        <v>1600000</v>
      </c>
      <c r="G25" s="403">
        <v>691391</v>
      </c>
      <c r="H25" s="404">
        <f>G25/F25</f>
        <v>0.432119375</v>
      </c>
    </row>
    <row r="26" spans="1:8" s="405" customFormat="1" ht="13.5">
      <c r="A26" s="400"/>
      <c r="B26" s="401"/>
      <c r="C26" s="402"/>
      <c r="D26" s="403"/>
      <c r="E26" s="403"/>
      <c r="F26" s="403"/>
      <c r="G26" s="288"/>
      <c r="H26" s="404"/>
    </row>
    <row r="27" spans="1:8" s="405" customFormat="1" ht="13.5">
      <c r="A27" s="400">
        <v>9</v>
      </c>
      <c r="B27" s="401" t="s">
        <v>166</v>
      </c>
      <c r="C27" s="402">
        <v>4168000</v>
      </c>
      <c r="D27" s="402">
        <v>2998121</v>
      </c>
      <c r="E27" s="288"/>
      <c r="F27" s="403">
        <f>SUM(C27:E27)</f>
        <v>7166121</v>
      </c>
      <c r="G27" s="403">
        <v>167593</v>
      </c>
      <c r="H27" s="404">
        <f>G27/F27</f>
        <v>0.023386850431356097</v>
      </c>
    </row>
    <row r="28" spans="1:8" s="405" customFormat="1" ht="13.5" hidden="1">
      <c r="A28" s="400"/>
      <c r="B28" s="401"/>
      <c r="C28" s="402"/>
      <c r="D28" s="403"/>
      <c r="E28" s="403"/>
      <c r="F28" s="403"/>
      <c r="G28" s="403"/>
      <c r="H28" s="406"/>
    </row>
    <row r="29" spans="1:8" s="405" customFormat="1" ht="13.5" hidden="1">
      <c r="A29" s="400"/>
      <c r="B29" s="401"/>
      <c r="C29" s="402"/>
      <c r="D29" s="288"/>
      <c r="E29" s="403"/>
      <c r="F29" s="403"/>
      <c r="G29" s="403"/>
      <c r="H29" s="404"/>
    </row>
    <row r="30" spans="1:8" s="405" customFormat="1" ht="13.5">
      <c r="A30" s="400"/>
      <c r="B30" s="401"/>
      <c r="C30" s="402"/>
      <c r="D30" s="403"/>
      <c r="E30" s="403"/>
      <c r="F30" s="403"/>
      <c r="G30" s="403"/>
      <c r="H30" s="406"/>
    </row>
    <row r="31" spans="1:8" s="405" customFormat="1" ht="13.5">
      <c r="A31" s="400">
        <v>10</v>
      </c>
      <c r="B31" s="401" t="s">
        <v>135</v>
      </c>
      <c r="C31" s="402">
        <v>3500000</v>
      </c>
      <c r="D31" s="288">
        <v>0</v>
      </c>
      <c r="E31" s="288"/>
      <c r="F31" s="403">
        <f>SUM(C31:E31)</f>
        <v>3500000</v>
      </c>
      <c r="G31" s="403">
        <v>3000000</v>
      </c>
      <c r="H31" s="404">
        <f>G31/F31</f>
        <v>0.8571428571428571</v>
      </c>
    </row>
    <row r="32" spans="1:8" s="405" customFormat="1" ht="13.5">
      <c r="A32" s="400"/>
      <c r="B32" s="401"/>
      <c r="C32" s="407"/>
      <c r="D32" s="384"/>
      <c r="E32" s="384"/>
      <c r="F32" s="408"/>
      <c r="G32" s="408"/>
      <c r="H32" s="409"/>
    </row>
    <row r="33" spans="1:8" s="405" customFormat="1" ht="13.5">
      <c r="A33" s="400">
        <v>11</v>
      </c>
      <c r="B33" s="401" t="s">
        <v>55</v>
      </c>
      <c r="C33" s="288">
        <v>0</v>
      </c>
      <c r="D33" s="402">
        <v>1034310</v>
      </c>
      <c r="E33" s="384"/>
      <c r="F33" s="403">
        <f>SUM(C33:E33)</f>
        <v>1034310</v>
      </c>
      <c r="G33" s="403">
        <v>998820</v>
      </c>
      <c r="H33" s="404">
        <f>G33/F33</f>
        <v>0.9656872697740523</v>
      </c>
    </row>
    <row r="34" spans="1:8" s="405" customFormat="1" ht="13.5">
      <c r="A34" s="400"/>
      <c r="B34" s="401"/>
      <c r="C34" s="407"/>
      <c r="D34" s="384"/>
      <c r="E34" s="384"/>
      <c r="F34" s="408"/>
      <c r="G34" s="408"/>
      <c r="H34" s="409"/>
    </row>
    <row r="35" spans="1:8" ht="14.25" thickBot="1">
      <c r="A35" s="343"/>
      <c r="B35" s="344"/>
      <c r="C35" s="346"/>
      <c r="D35" s="347"/>
      <c r="E35" s="347"/>
      <c r="F35" s="347"/>
      <c r="G35" s="347"/>
      <c r="H35" s="348"/>
    </row>
    <row r="36" spans="1:8" ht="21.75" customHeight="1" thickBot="1">
      <c r="A36" s="345"/>
      <c r="B36" s="351" t="s">
        <v>63</v>
      </c>
      <c r="C36" s="349">
        <f>SUM(C7:C35)</f>
        <v>40365483</v>
      </c>
      <c r="D36" s="349">
        <f>SUM(D7:D35)</f>
        <v>27693975</v>
      </c>
      <c r="E36" s="349"/>
      <c r="F36" s="349">
        <f>SUM(F7:F35)</f>
        <v>68059458</v>
      </c>
      <c r="G36" s="349">
        <f>SUM(G7:G35)</f>
        <v>16355474</v>
      </c>
      <c r="H36" s="350">
        <f>G36/F36</f>
        <v>0.2403115522900579</v>
      </c>
    </row>
    <row r="37" ht="12.75">
      <c r="F37" s="382"/>
    </row>
    <row r="38" ht="12.75">
      <c r="F38" s="382"/>
    </row>
  </sheetData>
  <sheetProtection/>
  <mergeCells count="3">
    <mergeCell ref="A1:H1"/>
    <mergeCell ref="A2:H2"/>
    <mergeCell ref="A3:H3"/>
  </mergeCells>
  <printOptions/>
  <pageMargins left="0.54" right="0.44" top="0.7" bottom="0.71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H1">
      <selection activeCell="L36" sqref="L36"/>
    </sheetView>
  </sheetViews>
  <sheetFormatPr defaultColWidth="9.140625" defaultRowHeight="12.75"/>
  <cols>
    <col min="1" max="1" width="11.8515625" style="0" hidden="1" customWidth="1"/>
    <col min="2" max="2" width="33.140625" style="0" hidden="1" customWidth="1"/>
    <col min="3" max="4" width="13.7109375" style="0" hidden="1" customWidth="1"/>
    <col min="5" max="5" width="14.57421875" style="49" hidden="1" customWidth="1"/>
    <col min="6" max="6" width="12.140625" style="0" hidden="1" customWidth="1"/>
    <col min="7" max="7" width="10.421875" style="0" hidden="1" customWidth="1"/>
  </cols>
  <sheetData>
    <row r="1" spans="1:6" ht="17.25">
      <c r="A1" s="14"/>
      <c r="B1" s="386"/>
      <c r="C1" s="386"/>
      <c r="D1" s="386"/>
      <c r="E1" s="386"/>
      <c r="F1" s="386"/>
    </row>
    <row r="2" spans="1:6" ht="15">
      <c r="A2" s="14"/>
      <c r="B2" s="387"/>
      <c r="C2" s="387"/>
      <c r="D2" s="387"/>
      <c r="E2" s="387"/>
      <c r="F2" s="387"/>
    </row>
    <row r="3" spans="1:9" ht="15">
      <c r="A3" s="387"/>
      <c r="B3" s="387"/>
      <c r="C3" s="387"/>
      <c r="D3" s="387"/>
      <c r="E3" s="387"/>
      <c r="F3" s="387"/>
      <c r="G3" s="387"/>
      <c r="H3" s="48"/>
      <c r="I3" s="48"/>
    </row>
    <row r="4" spans="1:6" ht="12.75">
      <c r="A4" s="14"/>
      <c r="B4" s="1"/>
      <c r="C4" s="1"/>
      <c r="D4" s="1"/>
      <c r="E4" s="50"/>
      <c r="F4" s="1"/>
    </row>
    <row r="5" ht="12.75">
      <c r="A5" s="14"/>
    </row>
    <row r="6" spans="2:7" ht="13.5">
      <c r="B6" s="17"/>
      <c r="C6" s="17"/>
      <c r="D6" s="17"/>
      <c r="E6" s="17"/>
      <c r="F6" s="51"/>
      <c r="G6" s="17"/>
    </row>
    <row r="7" spans="1:7" ht="13.5">
      <c r="A7" s="21"/>
      <c r="B7" s="42"/>
      <c r="C7" s="42"/>
      <c r="D7" s="42"/>
      <c r="E7" s="52"/>
      <c r="F7" s="53"/>
      <c r="G7" s="22"/>
    </row>
    <row r="8" spans="1:7" ht="13.5" hidden="1">
      <c r="A8" s="20"/>
      <c r="B8" s="22"/>
      <c r="C8" s="22"/>
      <c r="D8" s="22"/>
      <c r="E8" s="54"/>
      <c r="F8" s="55"/>
      <c r="G8" s="22"/>
    </row>
    <row r="9" spans="1:7" ht="13.5" hidden="1">
      <c r="A9" s="20"/>
      <c r="B9" s="22"/>
      <c r="C9" s="27"/>
      <c r="D9" s="27"/>
      <c r="E9" s="54"/>
      <c r="F9" s="56"/>
      <c r="G9" s="22"/>
    </row>
    <row r="10" spans="1:7" ht="13.5" hidden="1">
      <c r="A10" s="20"/>
      <c r="B10" s="22"/>
      <c r="C10" s="28"/>
      <c r="D10" s="27"/>
      <c r="E10" s="54"/>
      <c r="F10" s="56"/>
      <c r="G10" s="26"/>
    </row>
    <row r="11" spans="1:7" ht="13.5" hidden="1">
      <c r="A11" s="20"/>
      <c r="B11" s="22"/>
      <c r="C11" s="28"/>
      <c r="D11" s="27"/>
      <c r="E11" s="54"/>
      <c r="F11" s="56"/>
      <c r="G11" s="26"/>
    </row>
    <row r="12" spans="1:7" ht="13.5" hidden="1">
      <c r="A12" s="20"/>
      <c r="B12" s="22"/>
      <c r="C12" s="28"/>
      <c r="D12" s="27"/>
      <c r="E12" s="54"/>
      <c r="F12" s="56"/>
      <c r="G12" s="22"/>
    </row>
    <row r="13" spans="1:7" ht="13.5">
      <c r="A13" s="20"/>
      <c r="B13" s="22"/>
      <c r="C13" s="28"/>
      <c r="D13" s="27"/>
      <c r="E13" s="54"/>
      <c r="F13" s="56"/>
      <c r="G13" s="26"/>
    </row>
    <row r="14" spans="1:7" ht="13.5">
      <c r="A14" s="20"/>
      <c r="B14" s="22"/>
      <c r="C14" s="28"/>
      <c r="D14" s="27"/>
      <c r="E14" s="54"/>
      <c r="F14" s="56"/>
      <c r="G14" s="22"/>
    </row>
    <row r="15" spans="1:7" ht="13.5" hidden="1">
      <c r="A15" s="20"/>
      <c r="B15" s="22"/>
      <c r="C15" s="28"/>
      <c r="D15" s="27"/>
      <c r="E15" s="54"/>
      <c r="F15" s="56"/>
      <c r="G15" s="26"/>
    </row>
    <row r="16" spans="1:7" ht="13.5" hidden="1">
      <c r="A16" s="20"/>
      <c r="B16" s="22"/>
      <c r="C16" s="28"/>
      <c r="D16" s="27"/>
      <c r="E16" s="54"/>
      <c r="F16" s="56"/>
      <c r="G16" s="22"/>
    </row>
    <row r="17" spans="1:7" ht="13.5">
      <c r="A17" s="20"/>
      <c r="B17" s="22"/>
      <c r="C17" s="188"/>
      <c r="D17" s="57"/>
      <c r="E17" s="54"/>
      <c r="F17" s="56"/>
      <c r="G17" s="26"/>
    </row>
    <row r="18" spans="1:7" ht="13.5">
      <c r="A18" s="20"/>
      <c r="B18" s="22"/>
      <c r="C18" s="28"/>
      <c r="D18" s="27"/>
      <c r="E18" s="54"/>
      <c r="F18" s="56"/>
      <c r="G18" s="22"/>
    </row>
    <row r="19" spans="1:7" ht="13.5">
      <c r="A19" s="20"/>
      <c r="B19" s="22"/>
      <c r="C19" s="188"/>
      <c r="D19" s="27"/>
      <c r="E19" s="54"/>
      <c r="F19" s="56"/>
      <c r="G19" s="26"/>
    </row>
    <row r="20" spans="1:7" ht="13.5">
      <c r="A20" s="20"/>
      <c r="B20" s="22"/>
      <c r="C20" s="188"/>
      <c r="D20" s="27"/>
      <c r="E20" s="54"/>
      <c r="F20" s="56"/>
      <c r="G20" s="26"/>
    </row>
    <row r="21" spans="1:7" ht="13.5">
      <c r="A21" s="20"/>
      <c r="B21" s="22"/>
      <c r="C21" s="28"/>
      <c r="D21" s="27"/>
      <c r="E21" s="54"/>
      <c r="F21" s="56"/>
      <c r="G21" s="26"/>
    </row>
    <row r="22" spans="1:7" ht="13.5">
      <c r="A22" s="20"/>
      <c r="B22" s="22"/>
      <c r="C22" s="28"/>
      <c r="D22" s="27"/>
      <c r="E22" s="54"/>
      <c r="F22" s="56"/>
      <c r="G22" s="26"/>
    </row>
    <row r="23" spans="1:7" ht="13.5">
      <c r="A23" s="20"/>
      <c r="B23" s="22"/>
      <c r="C23" s="28"/>
      <c r="D23" s="27"/>
      <c r="E23" s="54"/>
      <c r="F23" s="56"/>
      <c r="G23" s="26"/>
    </row>
    <row r="24" spans="1:7" ht="13.5">
      <c r="A24" s="20"/>
      <c r="B24" s="22"/>
      <c r="C24" s="28"/>
      <c r="D24" s="27"/>
      <c r="E24" s="54"/>
      <c r="F24" s="56"/>
      <c r="G24" s="26"/>
    </row>
    <row r="25" spans="1:7" ht="13.5">
      <c r="A25" s="20"/>
      <c r="B25" s="22"/>
      <c r="C25" s="28"/>
      <c r="D25" s="27"/>
      <c r="E25" s="54"/>
      <c r="F25" s="56"/>
      <c r="G25" s="26"/>
    </row>
    <row r="26" spans="1:7" ht="13.5">
      <c r="A26" s="20"/>
      <c r="B26" s="22"/>
      <c r="C26" s="28"/>
      <c r="D26" s="27"/>
      <c r="E26" s="54"/>
      <c r="F26" s="56"/>
      <c r="G26" s="26"/>
    </row>
    <row r="27" spans="1:7" ht="13.5" hidden="1">
      <c r="A27" s="20"/>
      <c r="B27" s="22"/>
      <c r="C27" s="28"/>
      <c r="D27" s="27"/>
      <c r="E27" s="54"/>
      <c r="F27" s="56"/>
      <c r="G27" s="26"/>
    </row>
    <row r="28" spans="1:7" ht="13.5" hidden="1">
      <c r="A28" s="20"/>
      <c r="B28" s="22"/>
      <c r="C28" s="28"/>
      <c r="D28" s="27"/>
      <c r="E28" s="54"/>
      <c r="F28" s="56"/>
      <c r="G28" s="26"/>
    </row>
    <row r="29" spans="1:7" ht="13.5" hidden="1">
      <c r="A29" s="20"/>
      <c r="B29" s="22"/>
      <c r="C29" s="28"/>
      <c r="D29" s="27"/>
      <c r="E29" s="54"/>
      <c r="F29" s="56"/>
      <c r="G29" s="26"/>
    </row>
    <row r="30" spans="1:7" ht="13.5" hidden="1">
      <c r="A30" s="20"/>
      <c r="B30" s="22"/>
      <c r="C30" s="28"/>
      <c r="D30" s="27"/>
      <c r="E30" s="54"/>
      <c r="F30" s="56"/>
      <c r="G30" s="26"/>
    </row>
    <row r="31" spans="1:7" ht="13.5" hidden="1">
      <c r="A31" s="20"/>
      <c r="B31" s="22"/>
      <c r="C31" s="28"/>
      <c r="D31" s="27"/>
      <c r="E31" s="54"/>
      <c r="F31" s="56"/>
      <c r="G31" s="22"/>
    </row>
    <row r="32" spans="1:7" ht="13.5" hidden="1">
      <c r="A32" s="43"/>
      <c r="B32" s="22"/>
      <c r="C32" s="27"/>
      <c r="D32" s="44"/>
      <c r="E32" s="54"/>
      <c r="F32" s="59"/>
      <c r="G32" s="30"/>
    </row>
    <row r="33" spans="1:7" ht="13.5" hidden="1">
      <c r="A33" s="20"/>
      <c r="B33" s="22"/>
      <c r="C33" s="27"/>
      <c r="D33" s="27"/>
      <c r="E33" s="54"/>
      <c r="F33" s="56"/>
      <c r="G33" s="22"/>
    </row>
    <row r="34" spans="1:7" ht="13.5">
      <c r="A34" s="20"/>
      <c r="B34" s="22"/>
      <c r="C34" s="27"/>
      <c r="D34" s="27"/>
      <c r="E34" s="54"/>
      <c r="F34" s="56"/>
      <c r="G34" s="26"/>
    </row>
    <row r="35" spans="1:7" ht="13.5">
      <c r="A35" s="20"/>
      <c r="B35" s="22"/>
      <c r="C35" s="27"/>
      <c r="D35" s="27"/>
      <c r="E35" s="54"/>
      <c r="F35" s="56"/>
      <c r="G35" s="22"/>
    </row>
    <row r="36" spans="1:7" ht="13.5">
      <c r="A36" s="20"/>
      <c r="B36" s="22"/>
      <c r="C36" s="27"/>
      <c r="D36" s="27"/>
      <c r="E36" s="54"/>
      <c r="F36" s="56"/>
      <c r="G36" s="26"/>
    </row>
    <row r="37" spans="1:7" ht="13.5">
      <c r="A37" s="20"/>
      <c r="B37" s="22"/>
      <c r="C37" s="27"/>
      <c r="D37" s="27"/>
      <c r="E37" s="54"/>
      <c r="F37" s="56"/>
      <c r="G37" s="22"/>
    </row>
    <row r="38" spans="1:7" ht="13.5">
      <c r="A38" s="20"/>
      <c r="B38" s="22"/>
      <c r="C38" s="27"/>
      <c r="D38" s="27"/>
      <c r="E38" s="54"/>
      <c r="F38" s="56"/>
      <c r="G38" s="26"/>
    </row>
    <row r="39" spans="1:7" ht="13.5">
      <c r="A39" s="20"/>
      <c r="B39" s="22"/>
      <c r="C39" s="27"/>
      <c r="D39" s="27"/>
      <c r="E39" s="54"/>
      <c r="F39" s="56"/>
      <c r="G39" s="22"/>
    </row>
    <row r="40" spans="1:7" ht="13.5">
      <c r="A40" s="20"/>
      <c r="B40" s="22"/>
      <c r="C40" s="27"/>
      <c r="D40" s="27"/>
      <c r="E40" s="54"/>
      <c r="F40" s="56"/>
      <c r="G40" s="26"/>
    </row>
    <row r="41" spans="1:7" ht="13.5">
      <c r="A41" s="20"/>
      <c r="B41" s="22"/>
      <c r="C41" s="27"/>
      <c r="D41" s="27"/>
      <c r="E41" s="54"/>
      <c r="F41" s="56"/>
      <c r="G41" s="22"/>
    </row>
    <row r="42" spans="1:7" ht="13.5">
      <c r="A42" s="20"/>
      <c r="B42" s="30"/>
      <c r="C42" s="27"/>
      <c r="D42" s="27"/>
      <c r="E42" s="58"/>
      <c r="F42" s="60"/>
      <c r="G42" s="39"/>
    </row>
    <row r="43" spans="1:7" ht="12.75">
      <c r="A43" s="61"/>
      <c r="B43" s="61"/>
      <c r="C43" s="61"/>
      <c r="D43" s="61"/>
      <c r="E43" s="62"/>
      <c r="F43" s="63"/>
      <c r="G43" s="61"/>
    </row>
    <row r="44" spans="1:7" ht="12.75">
      <c r="A44" s="61"/>
      <c r="B44" s="61"/>
      <c r="C44" s="61"/>
      <c r="D44" s="61"/>
      <c r="E44" s="62"/>
      <c r="F44" s="63"/>
      <c r="G44" s="61"/>
    </row>
    <row r="46" ht="12.75">
      <c r="F46" s="64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5">
      <selection activeCell="L46" sqref="L46"/>
    </sheetView>
  </sheetViews>
  <sheetFormatPr defaultColWidth="9.140625" defaultRowHeight="12.75"/>
  <cols>
    <col min="1" max="1" width="10.421875" style="0" customWidth="1"/>
    <col min="2" max="2" width="20.57421875" style="14" customWidth="1"/>
    <col min="3" max="3" width="12.7109375" style="0" customWidth="1"/>
    <col min="4" max="4" width="10.421875" style="0" customWidth="1"/>
    <col min="5" max="5" width="8.57421875" style="0" customWidth="1"/>
    <col min="6" max="6" width="10.7109375" style="0" customWidth="1"/>
    <col min="7" max="7" width="12.57421875" style="0" customWidth="1"/>
    <col min="8" max="8" width="11.57421875" style="0" customWidth="1"/>
    <col min="9" max="9" width="13.00390625" style="0" customWidth="1"/>
    <col min="10" max="10" width="39.421875" style="0" customWidth="1"/>
  </cols>
  <sheetData>
    <row r="1" spans="1:10" s="45" customFormat="1" ht="17.25">
      <c r="A1" s="386" t="s">
        <v>162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s="45" customFormat="1" ht="15">
      <c r="A2" s="387" t="s">
        <v>185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>
      <c r="A3" s="387" t="s">
        <v>179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24" customHeight="1">
      <c r="G4" t="s">
        <v>8</v>
      </c>
    </row>
    <row r="5" spans="1:10" s="1" customFormat="1" ht="30" customHeight="1">
      <c r="A5" s="65" t="s">
        <v>110</v>
      </c>
      <c r="B5" s="65" t="s">
        <v>111</v>
      </c>
      <c r="C5" s="66" t="s">
        <v>136</v>
      </c>
      <c r="D5" s="66" t="s">
        <v>137</v>
      </c>
      <c r="E5" s="67" t="s">
        <v>112</v>
      </c>
      <c r="F5" s="67" t="s">
        <v>113</v>
      </c>
      <c r="G5" s="68" t="s">
        <v>183</v>
      </c>
      <c r="H5" s="69" t="s">
        <v>114</v>
      </c>
      <c r="I5" s="68" t="s">
        <v>184</v>
      </c>
      <c r="J5" s="65" t="s">
        <v>115</v>
      </c>
    </row>
    <row r="6" spans="1:10" s="45" customFormat="1" ht="12.75" customHeight="1">
      <c r="A6" s="70"/>
      <c r="B6" s="71"/>
      <c r="C6" s="72"/>
      <c r="D6" s="73"/>
      <c r="E6" s="73"/>
      <c r="F6" s="74"/>
      <c r="G6" s="75"/>
      <c r="H6" s="76"/>
      <c r="I6" s="77"/>
      <c r="J6" s="70"/>
    </row>
    <row r="7" spans="1:14" s="89" customFormat="1" ht="12.75" hidden="1">
      <c r="A7" s="78"/>
      <c r="B7" s="79"/>
      <c r="C7" s="80"/>
      <c r="D7" s="81"/>
      <c r="E7" s="82"/>
      <c r="F7" s="83"/>
      <c r="G7" s="84"/>
      <c r="H7" s="85"/>
      <c r="I7" s="86"/>
      <c r="J7" s="87"/>
      <c r="K7" s="88"/>
      <c r="L7" s="88"/>
      <c r="M7" s="88"/>
      <c r="N7" s="88"/>
    </row>
    <row r="8" spans="1:14" s="89" customFormat="1" ht="12.75">
      <c r="A8" s="193" t="s">
        <v>116</v>
      </c>
      <c r="B8" s="193">
        <v>2069733907</v>
      </c>
      <c r="C8" s="194" t="s">
        <v>118</v>
      </c>
      <c r="D8" s="197">
        <v>41226</v>
      </c>
      <c r="E8" s="196">
        <v>0.0515</v>
      </c>
      <c r="F8" s="197">
        <v>41318</v>
      </c>
      <c r="G8" s="214">
        <v>8000000</v>
      </c>
      <c r="H8" s="215">
        <v>34991.78</v>
      </c>
      <c r="I8" s="214">
        <v>8000000</v>
      </c>
      <c r="J8" s="191" t="s">
        <v>129</v>
      </c>
      <c r="K8" s="88"/>
      <c r="L8" s="88"/>
      <c r="M8" s="88"/>
      <c r="N8" s="88"/>
    </row>
    <row r="9" spans="1:14" s="89" customFormat="1" ht="12.75" hidden="1">
      <c r="A9" s="193" t="s">
        <v>116</v>
      </c>
      <c r="B9" s="193">
        <v>2069037779</v>
      </c>
      <c r="C9" s="194"/>
      <c r="D9" s="197"/>
      <c r="E9" s="196"/>
      <c r="F9" s="197"/>
      <c r="G9" s="216"/>
      <c r="H9" s="215"/>
      <c r="I9" s="216"/>
      <c r="J9" s="191"/>
      <c r="K9" s="88"/>
      <c r="L9" s="88"/>
      <c r="M9" s="88"/>
      <c r="N9" s="88"/>
    </row>
    <row r="10" spans="1:10" s="89" customFormat="1" ht="12.75">
      <c r="A10" s="193" t="s">
        <v>116</v>
      </c>
      <c r="B10" s="193">
        <v>2072516689</v>
      </c>
      <c r="C10" s="194" t="s">
        <v>176</v>
      </c>
      <c r="D10" s="197">
        <v>41192</v>
      </c>
      <c r="E10" s="196">
        <v>0.0515</v>
      </c>
      <c r="F10" s="197">
        <v>41284</v>
      </c>
      <c r="G10" s="214">
        <v>10000000</v>
      </c>
      <c r="H10" s="215">
        <v>43739.73</v>
      </c>
      <c r="I10" s="214">
        <v>10000000</v>
      </c>
      <c r="J10" s="191" t="s">
        <v>129</v>
      </c>
    </row>
    <row r="11" spans="1:10" s="89" customFormat="1" ht="27" customHeight="1" hidden="1">
      <c r="A11" s="193"/>
      <c r="B11" s="193"/>
      <c r="C11" s="194"/>
      <c r="D11" s="197"/>
      <c r="E11" s="198"/>
      <c r="F11" s="197"/>
      <c r="G11" s="216"/>
      <c r="H11" s="215"/>
      <c r="I11" s="216"/>
      <c r="J11" s="191"/>
    </row>
    <row r="12" spans="1:10" s="89" customFormat="1" ht="52.5">
      <c r="A12" s="193" t="s">
        <v>116</v>
      </c>
      <c r="B12" s="193">
        <v>2072692241</v>
      </c>
      <c r="C12" s="194" t="s">
        <v>118</v>
      </c>
      <c r="D12" s="197">
        <v>41162</v>
      </c>
      <c r="E12" s="198">
        <v>0.051</v>
      </c>
      <c r="F12" s="197">
        <v>41253</v>
      </c>
      <c r="G12" s="214">
        <v>8000000</v>
      </c>
      <c r="H12" s="215">
        <v>42789.04</v>
      </c>
      <c r="I12" s="214">
        <v>10000000</v>
      </c>
      <c r="J12" s="191" t="s">
        <v>192</v>
      </c>
    </row>
    <row r="13" spans="1:10" s="89" customFormat="1" ht="12.75">
      <c r="A13" s="193" t="s">
        <v>116</v>
      </c>
      <c r="B13" s="193">
        <v>2072215378</v>
      </c>
      <c r="C13" s="194" t="s">
        <v>118</v>
      </c>
      <c r="D13" s="197">
        <v>41239</v>
      </c>
      <c r="E13" s="198">
        <v>0.0517</v>
      </c>
      <c r="F13" s="197">
        <v>41300</v>
      </c>
      <c r="G13" s="216">
        <v>10000000</v>
      </c>
      <c r="H13" s="215">
        <v>43909.59</v>
      </c>
      <c r="I13" s="216">
        <v>10000000</v>
      </c>
      <c r="J13" s="191" t="s">
        <v>129</v>
      </c>
    </row>
    <row r="14" spans="1:10" s="89" customFormat="1" ht="13.5" thickBot="1">
      <c r="A14" s="199"/>
      <c r="B14" s="199"/>
      <c r="C14" s="200"/>
      <c r="D14" s="201"/>
      <c r="E14" s="202"/>
      <c r="F14" s="201"/>
      <c r="G14" s="217"/>
      <c r="H14" s="218"/>
      <c r="I14" s="217"/>
      <c r="J14" s="192"/>
    </row>
    <row r="15" spans="1:10" s="89" customFormat="1" ht="12.75">
      <c r="A15" s="193"/>
      <c r="B15" s="193"/>
      <c r="C15" s="194"/>
      <c r="D15" s="197"/>
      <c r="E15" s="198"/>
      <c r="F15" s="197"/>
      <c r="G15" s="216"/>
      <c r="H15" s="215"/>
      <c r="I15" s="216"/>
      <c r="J15" s="191"/>
    </row>
    <row r="16" spans="1:10" s="89" customFormat="1" ht="12.75" hidden="1">
      <c r="A16" s="193"/>
      <c r="B16" s="193"/>
      <c r="C16" s="194"/>
      <c r="D16" s="197"/>
      <c r="E16" s="196"/>
      <c r="F16" s="197"/>
      <c r="G16" s="216"/>
      <c r="H16" s="215"/>
      <c r="I16" s="216"/>
      <c r="J16" s="191"/>
    </row>
    <row r="17" spans="1:10" s="89" customFormat="1" ht="26.25">
      <c r="A17" s="193" t="s">
        <v>119</v>
      </c>
      <c r="B17" s="193" t="s">
        <v>170</v>
      </c>
      <c r="C17" s="194" t="s">
        <v>118</v>
      </c>
      <c r="D17" s="197">
        <v>41134</v>
      </c>
      <c r="E17" s="196">
        <v>0.058</v>
      </c>
      <c r="F17" s="197">
        <v>41244</v>
      </c>
      <c r="G17" s="216">
        <v>10000000</v>
      </c>
      <c r="H17" s="215">
        <v>0</v>
      </c>
      <c r="I17" s="216">
        <v>0</v>
      </c>
      <c r="J17" s="191" t="s">
        <v>193</v>
      </c>
    </row>
    <row r="18" spans="1:10" s="89" customFormat="1" ht="12.75" hidden="1">
      <c r="A18" s="193" t="s">
        <v>119</v>
      </c>
      <c r="B18" s="193"/>
      <c r="C18" s="194"/>
      <c r="D18" s="333"/>
      <c r="E18" s="196"/>
      <c r="F18" s="333"/>
      <c r="G18" s="216"/>
      <c r="H18" s="215"/>
      <c r="I18" s="216"/>
      <c r="J18" s="191"/>
    </row>
    <row r="19" spans="1:10" s="89" customFormat="1" ht="26.25">
      <c r="A19" s="193" t="s">
        <v>119</v>
      </c>
      <c r="B19" s="193" t="s">
        <v>170</v>
      </c>
      <c r="C19" s="194" t="s">
        <v>118</v>
      </c>
      <c r="D19" s="197">
        <v>41141</v>
      </c>
      <c r="E19" s="196">
        <v>0.0577</v>
      </c>
      <c r="F19" s="197">
        <v>41244</v>
      </c>
      <c r="G19" s="216">
        <v>11000000</v>
      </c>
      <c r="H19" s="215">
        <v>0</v>
      </c>
      <c r="I19" s="216">
        <v>0</v>
      </c>
      <c r="J19" s="191" t="s">
        <v>193</v>
      </c>
    </row>
    <row r="20" spans="1:10" s="89" customFormat="1" ht="12.75" hidden="1">
      <c r="A20" s="193"/>
      <c r="B20" s="193"/>
      <c r="C20" s="194"/>
      <c r="D20" s="197"/>
      <c r="E20" s="196"/>
      <c r="F20" s="333"/>
      <c r="G20" s="216"/>
      <c r="H20" s="215"/>
      <c r="I20" s="216"/>
      <c r="J20" s="191"/>
    </row>
    <row r="21" spans="1:10" s="89" customFormat="1" ht="12.75">
      <c r="A21" s="193" t="s">
        <v>119</v>
      </c>
      <c r="B21" s="193">
        <v>74232515161</v>
      </c>
      <c r="C21" s="194" t="s">
        <v>118</v>
      </c>
      <c r="D21" s="333">
        <v>41190</v>
      </c>
      <c r="E21" s="196">
        <v>0.051</v>
      </c>
      <c r="F21" s="333">
        <v>41282</v>
      </c>
      <c r="G21" s="216">
        <v>10000000</v>
      </c>
      <c r="H21" s="215">
        <v>43315.07</v>
      </c>
      <c r="I21" s="216">
        <v>10000000</v>
      </c>
      <c r="J21" s="191" t="s">
        <v>129</v>
      </c>
    </row>
    <row r="22" spans="1:10" s="89" customFormat="1" ht="12.75" hidden="1">
      <c r="A22" s="193"/>
      <c r="B22" s="193"/>
      <c r="C22" s="194"/>
      <c r="D22" s="197"/>
      <c r="E22" s="196"/>
      <c r="F22" s="333"/>
      <c r="G22" s="216"/>
      <c r="H22" s="215"/>
      <c r="I22" s="216"/>
      <c r="J22" s="191"/>
    </row>
    <row r="23" spans="1:10" s="89" customFormat="1" ht="13.5" thickBot="1">
      <c r="A23" s="199"/>
      <c r="B23" s="199"/>
      <c r="C23" s="200"/>
      <c r="D23" s="201"/>
      <c r="E23" s="203"/>
      <c r="F23" s="201"/>
      <c r="G23" s="217"/>
      <c r="H23" s="218"/>
      <c r="I23" s="217"/>
      <c r="J23" s="359"/>
    </row>
    <row r="24" spans="1:10" s="89" customFormat="1" ht="12.75">
      <c r="A24" s="193"/>
      <c r="B24" s="193"/>
      <c r="C24" s="194"/>
      <c r="D24" s="197"/>
      <c r="E24" s="196"/>
      <c r="F24" s="197"/>
      <c r="G24" s="214"/>
      <c r="H24" s="215"/>
      <c r="I24" s="214"/>
      <c r="J24" s="191"/>
    </row>
    <row r="25" spans="1:10" s="89" customFormat="1" ht="12.75" hidden="1">
      <c r="A25" s="193"/>
      <c r="B25" s="193"/>
      <c r="C25" s="194"/>
      <c r="D25" s="197"/>
      <c r="E25" s="196"/>
      <c r="F25" s="197"/>
      <c r="G25" s="352"/>
      <c r="H25" s="215"/>
      <c r="I25" s="214"/>
      <c r="J25" s="191"/>
    </row>
    <row r="26" spans="1:10" s="89" customFormat="1" ht="12.75" hidden="1">
      <c r="A26" s="193" t="s">
        <v>120</v>
      </c>
      <c r="B26" s="193" t="s">
        <v>138</v>
      </c>
      <c r="C26" s="194" t="s">
        <v>139</v>
      </c>
      <c r="D26" s="197">
        <v>40371</v>
      </c>
      <c r="E26" s="196">
        <v>0.063</v>
      </c>
      <c r="F26" s="197">
        <v>40403</v>
      </c>
      <c r="G26" s="220">
        <v>0</v>
      </c>
      <c r="H26" s="215">
        <v>33287.67</v>
      </c>
      <c r="I26" s="216">
        <v>9000000</v>
      </c>
      <c r="J26" s="191" t="s">
        <v>128</v>
      </c>
    </row>
    <row r="27" spans="1:10" s="89" customFormat="1" ht="12.75">
      <c r="A27" s="193" t="s">
        <v>120</v>
      </c>
      <c r="B27" s="193" t="s">
        <v>175</v>
      </c>
      <c r="C27" s="194" t="s">
        <v>121</v>
      </c>
      <c r="D27" s="197">
        <v>41170</v>
      </c>
      <c r="E27" s="196">
        <v>0.0519</v>
      </c>
      <c r="F27" s="197">
        <v>41351</v>
      </c>
      <c r="G27" s="352">
        <v>10000000</v>
      </c>
      <c r="H27" s="215">
        <v>44079.45</v>
      </c>
      <c r="I27" s="214">
        <v>10000000</v>
      </c>
      <c r="J27" s="191" t="s">
        <v>129</v>
      </c>
    </row>
    <row r="28" spans="1:10" s="89" customFormat="1" ht="13.5" hidden="1" thickBot="1">
      <c r="A28" s="193"/>
      <c r="B28" s="193"/>
      <c r="C28" s="194"/>
      <c r="D28" s="195"/>
      <c r="E28" s="196"/>
      <c r="F28" s="197"/>
      <c r="G28" s="219"/>
      <c r="H28" s="215"/>
      <c r="I28" s="219"/>
      <c r="J28" s="192"/>
    </row>
    <row r="29" spans="1:10" s="89" customFormat="1" ht="13.5" hidden="1" thickBot="1">
      <c r="A29" s="193"/>
      <c r="B29" s="193"/>
      <c r="C29" s="194"/>
      <c r="D29" s="197"/>
      <c r="E29" s="196"/>
      <c r="F29" s="197"/>
      <c r="G29" s="216"/>
      <c r="H29" s="215"/>
      <c r="I29" s="219"/>
      <c r="J29" s="192"/>
    </row>
    <row r="30" spans="1:10" s="89" customFormat="1" ht="12.75">
      <c r="A30" s="193" t="s">
        <v>120</v>
      </c>
      <c r="B30" s="193" t="s">
        <v>164</v>
      </c>
      <c r="C30" s="194" t="s">
        <v>177</v>
      </c>
      <c r="D30" s="197">
        <v>41191</v>
      </c>
      <c r="E30" s="196">
        <v>0.0507</v>
      </c>
      <c r="F30" s="197">
        <v>41282</v>
      </c>
      <c r="G30" s="214">
        <v>10000000</v>
      </c>
      <c r="H30" s="215">
        <v>43060.27</v>
      </c>
      <c r="I30" s="214">
        <v>10000000</v>
      </c>
      <c r="J30" s="191" t="s">
        <v>129</v>
      </c>
    </row>
    <row r="31" spans="1:10" s="89" customFormat="1" ht="12.75">
      <c r="A31" s="193" t="s">
        <v>120</v>
      </c>
      <c r="B31" s="193" t="s">
        <v>186</v>
      </c>
      <c r="C31" s="194" t="s">
        <v>118</v>
      </c>
      <c r="D31" s="197">
        <v>41253</v>
      </c>
      <c r="E31" s="196">
        <v>0.0517</v>
      </c>
      <c r="F31" s="197">
        <v>41344</v>
      </c>
      <c r="G31" s="214">
        <v>0</v>
      </c>
      <c r="H31" s="215">
        <v>31161.64</v>
      </c>
      <c r="I31" s="214">
        <v>10000000</v>
      </c>
      <c r="J31" s="191" t="s">
        <v>128</v>
      </c>
    </row>
    <row r="32" spans="1:10" s="89" customFormat="1" ht="12.75">
      <c r="A32" s="193" t="s">
        <v>120</v>
      </c>
      <c r="B32" s="193" t="s">
        <v>187</v>
      </c>
      <c r="C32" s="194" t="s">
        <v>174</v>
      </c>
      <c r="D32" s="197">
        <v>41253</v>
      </c>
      <c r="E32" s="196">
        <v>0.0513</v>
      </c>
      <c r="F32" s="197">
        <v>41316</v>
      </c>
      <c r="G32" s="214">
        <v>0</v>
      </c>
      <c r="H32" s="215">
        <v>30920.55</v>
      </c>
      <c r="I32" s="214">
        <v>10000000</v>
      </c>
      <c r="J32" s="191" t="s">
        <v>128</v>
      </c>
    </row>
    <row r="33" spans="1:10" s="89" customFormat="1" ht="13.5" thickBot="1">
      <c r="A33" s="193"/>
      <c r="B33" s="193"/>
      <c r="C33" s="194"/>
      <c r="D33" s="197"/>
      <c r="E33" s="196"/>
      <c r="F33" s="197"/>
      <c r="G33" s="216"/>
      <c r="H33" s="215"/>
      <c r="I33" s="216"/>
      <c r="J33" s="191"/>
    </row>
    <row r="34" spans="1:10" s="89" customFormat="1" ht="12.75" hidden="1">
      <c r="A34" s="193" t="s">
        <v>120</v>
      </c>
      <c r="B34" s="193"/>
      <c r="C34" s="194"/>
      <c r="D34" s="197"/>
      <c r="E34" s="196"/>
      <c r="F34" s="197"/>
      <c r="G34" s="216"/>
      <c r="H34" s="215"/>
      <c r="I34" s="216"/>
      <c r="J34" s="191"/>
    </row>
    <row r="35" spans="1:10" s="89" customFormat="1" ht="13.5" hidden="1" thickBot="1">
      <c r="A35" s="193" t="s">
        <v>120</v>
      </c>
      <c r="B35" s="193"/>
      <c r="C35" s="194"/>
      <c r="D35" s="197"/>
      <c r="E35" s="196"/>
      <c r="F35" s="197"/>
      <c r="G35" s="220"/>
      <c r="H35" s="215"/>
      <c r="I35" s="216"/>
      <c r="J35" s="191"/>
    </row>
    <row r="36" spans="1:10" s="89" customFormat="1" ht="12.75">
      <c r="A36" s="204"/>
      <c r="B36" s="204"/>
      <c r="C36" s="205"/>
      <c r="D36" s="206"/>
      <c r="E36" s="207"/>
      <c r="F36" s="208"/>
      <c r="G36" s="221"/>
      <c r="H36" s="222"/>
      <c r="I36" s="221"/>
      <c r="J36" s="209"/>
    </row>
    <row r="37" spans="1:10" s="89" customFormat="1" ht="12.75" hidden="1">
      <c r="A37" s="193"/>
      <c r="B37" s="193"/>
      <c r="C37" s="194"/>
      <c r="D37" s="197"/>
      <c r="E37" s="196"/>
      <c r="F37" s="197"/>
      <c r="G37" s="220"/>
      <c r="H37" s="215"/>
      <c r="I37" s="216"/>
      <c r="J37" s="191"/>
    </row>
    <row r="38" spans="1:10" s="89" customFormat="1" ht="12.75">
      <c r="A38" s="193" t="s">
        <v>122</v>
      </c>
      <c r="B38" s="193" t="s">
        <v>141</v>
      </c>
      <c r="C38" s="353" t="s">
        <v>118</v>
      </c>
      <c r="D38" s="197">
        <v>41194</v>
      </c>
      <c r="E38" s="196">
        <v>0.0504</v>
      </c>
      <c r="F38" s="197">
        <v>41288</v>
      </c>
      <c r="G38" s="216">
        <v>13000000</v>
      </c>
      <c r="H38" s="215">
        <v>55647.12</v>
      </c>
      <c r="I38" s="216">
        <v>13000000</v>
      </c>
      <c r="J38" s="191" t="s">
        <v>117</v>
      </c>
    </row>
    <row r="39" spans="1:10" s="89" customFormat="1" ht="12.75" hidden="1">
      <c r="A39" s="193" t="s">
        <v>122</v>
      </c>
      <c r="B39" s="193"/>
      <c r="C39" s="194"/>
      <c r="D39" s="195"/>
      <c r="E39" s="196"/>
      <c r="F39" s="197"/>
      <c r="G39" s="216"/>
      <c r="H39" s="215"/>
      <c r="I39" s="216"/>
      <c r="J39" s="191"/>
    </row>
    <row r="40" spans="1:10" s="89" customFormat="1" ht="12.75" hidden="1">
      <c r="A40" s="193"/>
      <c r="B40" s="193"/>
      <c r="C40" s="194"/>
      <c r="D40" s="195"/>
      <c r="E40" s="196"/>
      <c r="F40" s="197"/>
      <c r="G40" s="216"/>
      <c r="H40" s="215"/>
      <c r="I40" s="216"/>
      <c r="J40" s="191"/>
    </row>
    <row r="41" spans="1:10" s="89" customFormat="1" ht="12.75" hidden="1">
      <c r="A41" s="193"/>
      <c r="B41" s="193"/>
      <c r="C41" s="194"/>
      <c r="D41" s="195"/>
      <c r="E41" s="196"/>
      <c r="F41" s="197"/>
      <c r="G41" s="216"/>
      <c r="H41" s="215"/>
      <c r="I41" s="216"/>
      <c r="J41" s="191"/>
    </row>
    <row r="42" spans="1:10" s="89" customFormat="1" ht="12.75">
      <c r="A42" s="193" t="s">
        <v>122</v>
      </c>
      <c r="B42" s="193" t="s">
        <v>191</v>
      </c>
      <c r="C42" s="194" t="s">
        <v>123</v>
      </c>
      <c r="D42" s="195">
        <v>41263</v>
      </c>
      <c r="E42" s="196">
        <v>0.045</v>
      </c>
      <c r="F42" s="197" t="s">
        <v>123</v>
      </c>
      <c r="G42" s="216">
        <v>0</v>
      </c>
      <c r="H42" s="215">
        <v>14301</v>
      </c>
      <c r="I42" s="214">
        <v>3000000</v>
      </c>
      <c r="J42" s="191" t="s">
        <v>128</v>
      </c>
    </row>
    <row r="43" spans="1:10" s="89" customFormat="1" ht="12.75">
      <c r="A43" s="193" t="s">
        <v>188</v>
      </c>
      <c r="B43" s="193" t="s">
        <v>189</v>
      </c>
      <c r="C43" s="194" t="s">
        <v>190</v>
      </c>
      <c r="D43" s="195">
        <v>41254</v>
      </c>
      <c r="E43" s="196">
        <v>0.053</v>
      </c>
      <c r="F43" s="197">
        <v>41344</v>
      </c>
      <c r="G43" s="216">
        <v>0</v>
      </c>
      <c r="H43" s="215">
        <v>30493.15</v>
      </c>
      <c r="I43" s="214">
        <v>10000000</v>
      </c>
      <c r="J43" s="191" t="s">
        <v>128</v>
      </c>
    </row>
    <row r="44" spans="1:10" s="89" customFormat="1" ht="13.5" thickBot="1">
      <c r="A44" s="199"/>
      <c r="B44" s="199"/>
      <c r="C44" s="200"/>
      <c r="D44" s="201"/>
      <c r="E44" s="203"/>
      <c r="F44" s="201"/>
      <c r="G44" s="217"/>
      <c r="H44" s="218"/>
      <c r="I44" s="217"/>
      <c r="J44" s="192"/>
    </row>
    <row r="45" spans="1:10" s="89" customFormat="1" ht="12.75">
      <c r="A45" s="193"/>
      <c r="B45" s="193"/>
      <c r="C45" s="194"/>
      <c r="D45" s="195"/>
      <c r="E45" s="196"/>
      <c r="F45" s="197"/>
      <c r="G45" s="216"/>
      <c r="H45" s="215"/>
      <c r="I45" s="216"/>
      <c r="J45" s="191"/>
    </row>
    <row r="46" spans="1:10" s="89" customFormat="1" ht="12.75">
      <c r="A46" s="354" t="s">
        <v>124</v>
      </c>
      <c r="B46" s="193">
        <v>1400198080</v>
      </c>
      <c r="C46" s="194" t="s">
        <v>118</v>
      </c>
      <c r="D46" s="197">
        <v>41191</v>
      </c>
      <c r="E46" s="196">
        <v>0.0508</v>
      </c>
      <c r="F46" s="197">
        <v>41281</v>
      </c>
      <c r="G46" s="216">
        <v>10000000</v>
      </c>
      <c r="H46" s="215">
        <v>43145.21</v>
      </c>
      <c r="I46" s="216">
        <v>10000000</v>
      </c>
      <c r="J46" s="191" t="s">
        <v>129</v>
      </c>
    </row>
    <row r="47" spans="1:10" s="89" customFormat="1" ht="12.75" hidden="1">
      <c r="A47" s="354" t="s">
        <v>124</v>
      </c>
      <c r="B47" s="354"/>
      <c r="C47" s="194"/>
      <c r="D47" s="197"/>
      <c r="E47" s="196"/>
      <c r="F47" s="197"/>
      <c r="G47" s="216"/>
      <c r="H47" s="215"/>
      <c r="I47" s="216"/>
      <c r="J47" s="191"/>
    </row>
    <row r="48" spans="1:10" s="89" customFormat="1" ht="12.75" hidden="1">
      <c r="A48" s="354"/>
      <c r="B48" s="354"/>
      <c r="C48" s="354"/>
      <c r="D48" s="197"/>
      <c r="E48" s="196"/>
      <c r="F48" s="197"/>
      <c r="G48" s="216"/>
      <c r="H48" s="215"/>
      <c r="I48" s="216"/>
      <c r="J48" s="191"/>
    </row>
    <row r="49" spans="1:10" s="89" customFormat="1" ht="12.75" hidden="1">
      <c r="A49" s="354"/>
      <c r="B49" s="354"/>
      <c r="C49" s="355"/>
      <c r="D49" s="197"/>
      <c r="E49" s="198"/>
      <c r="F49" s="197"/>
      <c r="G49" s="216"/>
      <c r="H49" s="215"/>
      <c r="I49" s="216"/>
      <c r="J49" s="191"/>
    </row>
    <row r="50" spans="1:10" s="89" customFormat="1" ht="13.5" thickBot="1">
      <c r="A50" s="199" t="s">
        <v>124</v>
      </c>
      <c r="B50" s="360" t="s">
        <v>147</v>
      </c>
      <c r="C50" s="356" t="s">
        <v>123</v>
      </c>
      <c r="D50" s="301">
        <v>40746</v>
      </c>
      <c r="E50" s="202">
        <v>0.047</v>
      </c>
      <c r="F50" s="201" t="s">
        <v>123</v>
      </c>
      <c r="G50" s="217">
        <v>2000000</v>
      </c>
      <c r="H50" s="218">
        <v>30646.58</v>
      </c>
      <c r="I50" s="218">
        <v>10000000</v>
      </c>
      <c r="J50" s="192" t="s">
        <v>117</v>
      </c>
    </row>
    <row r="51" spans="1:10" s="89" customFormat="1" ht="13.5" thickBot="1">
      <c r="A51" s="199"/>
      <c r="B51" s="199"/>
      <c r="C51" s="200"/>
      <c r="D51" s="201"/>
      <c r="E51" s="202"/>
      <c r="F51" s="201"/>
      <c r="G51" s="217"/>
      <c r="H51" s="218"/>
      <c r="I51" s="217"/>
      <c r="J51" s="192"/>
    </row>
    <row r="52" spans="1:10" s="89" customFormat="1" ht="13.5" thickBot="1">
      <c r="A52" s="199"/>
      <c r="B52" s="199"/>
      <c r="C52" s="200"/>
      <c r="D52" s="201"/>
      <c r="E52" s="202"/>
      <c r="F52" s="201"/>
      <c r="G52" s="223">
        <f>G8+G10+G12+G13+G16+G17+G19+G20+G21+G22+G27+G30+G38+G46+G48+G50</f>
        <v>112000000</v>
      </c>
      <c r="H52" s="224">
        <f>H8+H10+H12+H13+H17+H19+H21+H27+H30+H31+H32+H38+H42+H43+H46+H50</f>
        <v>532200.18</v>
      </c>
      <c r="I52" s="223">
        <f>I8+I10+I12+I13+I16+I17+I19+I20+I21+I22+I27+I30+I31+I32+I38+I42+I43+I46+I48+I50</f>
        <v>134000000</v>
      </c>
      <c r="J52" s="192"/>
    </row>
    <row r="53" spans="1:10" s="45" customFormat="1" ht="14.25" thickBot="1" thickTop="1">
      <c r="A53" s="210"/>
      <c r="B53" s="210"/>
      <c r="C53" s="211"/>
      <c r="D53" s="212"/>
      <c r="E53" s="213"/>
      <c r="F53" s="357"/>
      <c r="G53" s="358"/>
      <c r="H53" s="358"/>
      <c r="I53" s="358"/>
      <c r="J53" s="210"/>
    </row>
    <row r="54" spans="2:9" s="89" customFormat="1" ht="12.75">
      <c r="B54" s="90"/>
      <c r="G54" s="89" t="s">
        <v>8</v>
      </c>
      <c r="I54" s="91"/>
    </row>
    <row r="55" s="89" customFormat="1" ht="12.75">
      <c r="B55" s="90"/>
    </row>
    <row r="56" spans="1:2" s="89" customFormat="1" ht="12.75">
      <c r="A56" s="189"/>
      <c r="B56" s="190"/>
    </row>
    <row r="57" spans="2:6" s="89" customFormat="1" ht="12.75">
      <c r="B57" s="90"/>
      <c r="F57" s="89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6692913385826772" bottom="0.5511811023622047" header="0.5118110236220472" footer="0.35433070866141736"/>
  <pageSetup fitToHeight="1" fitToWidth="1"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7.57421875" style="0" customWidth="1"/>
    <col min="2" max="2" width="36.00390625" style="14" customWidth="1"/>
    <col min="3" max="3" width="10.8515625" style="0" customWidth="1"/>
    <col min="4" max="4" width="13.7109375" style="0" customWidth="1"/>
    <col min="5" max="7" width="13.140625" style="0" customWidth="1"/>
    <col min="8" max="8" width="12.7109375" style="92" customWidth="1"/>
    <col min="9" max="9" width="10.28125" style="0" customWidth="1"/>
    <col min="10" max="10" width="35.28125" style="0" customWidth="1"/>
  </cols>
  <sheetData>
    <row r="1" spans="1:9" ht="21">
      <c r="A1" s="93"/>
      <c r="B1" s="94"/>
      <c r="D1" s="95"/>
      <c r="E1" s="95"/>
      <c r="F1" s="95"/>
      <c r="G1" s="95"/>
      <c r="H1" s="96"/>
      <c r="I1" s="97"/>
    </row>
    <row r="2" spans="1:9" ht="21">
      <c r="A2" s="93"/>
      <c r="B2" s="303"/>
      <c r="C2" s="302"/>
      <c r="D2" s="97"/>
      <c r="E2" s="97"/>
      <c r="F2" s="97"/>
      <c r="G2" s="97"/>
      <c r="H2" s="98"/>
      <c r="I2" s="97"/>
    </row>
    <row r="3" spans="1:9" ht="12.75">
      <c r="A3" s="69"/>
      <c r="B3" s="69"/>
      <c r="C3" s="69"/>
      <c r="D3" s="69"/>
      <c r="E3" s="69"/>
      <c r="F3" s="99"/>
      <c r="G3" s="312"/>
      <c r="H3" s="68"/>
      <c r="I3" s="69"/>
    </row>
    <row r="4" spans="1:9" ht="12.75">
      <c r="A4" s="100"/>
      <c r="B4" s="101"/>
      <c r="C4" s="102"/>
      <c r="D4" s="103"/>
      <c r="E4" s="103"/>
      <c r="F4" s="104"/>
      <c r="G4" s="313"/>
      <c r="H4" s="105"/>
      <c r="I4" s="106"/>
    </row>
    <row r="5" spans="1:9" ht="12.75" hidden="1">
      <c r="A5" s="107"/>
      <c r="B5" s="108"/>
      <c r="C5" s="102"/>
      <c r="D5" s="109"/>
      <c r="E5" s="103"/>
      <c r="F5" s="104"/>
      <c r="G5" s="313"/>
      <c r="H5" s="105"/>
      <c r="I5" s="106"/>
    </row>
    <row r="6" spans="1:9" ht="12.75" hidden="1">
      <c r="A6" s="110"/>
      <c r="B6" s="111"/>
      <c r="C6" s="102"/>
      <c r="D6" s="103"/>
      <c r="E6" s="103"/>
      <c r="F6" s="104"/>
      <c r="G6" s="313"/>
      <c r="H6" s="105"/>
      <c r="I6" s="106"/>
    </row>
    <row r="7" spans="1:9" ht="12.75" hidden="1">
      <c r="A7" s="100"/>
      <c r="B7" s="111"/>
      <c r="C7" s="102"/>
      <c r="D7" s="103"/>
      <c r="E7" s="103"/>
      <c r="F7" s="104"/>
      <c r="G7" s="313"/>
      <c r="H7" s="105"/>
      <c r="I7" s="106"/>
    </row>
    <row r="8" spans="1:9" ht="12.75" hidden="1">
      <c r="A8" s="110"/>
      <c r="B8" s="111"/>
      <c r="C8" s="102"/>
      <c r="D8" s="103"/>
      <c r="E8" s="103"/>
      <c r="F8" s="104"/>
      <c r="G8" s="313"/>
      <c r="H8" s="105"/>
      <c r="I8" s="106"/>
    </row>
    <row r="9" spans="1:9" ht="12.75" hidden="1">
      <c r="A9" s="100"/>
      <c r="B9" s="111"/>
      <c r="C9" s="102"/>
      <c r="D9" s="103"/>
      <c r="E9" s="103"/>
      <c r="F9" s="104"/>
      <c r="G9" s="313"/>
      <c r="H9" s="105"/>
      <c r="I9" s="106"/>
    </row>
    <row r="10" spans="1:9" ht="12.75" hidden="1">
      <c r="A10" s="100"/>
      <c r="B10" s="111"/>
      <c r="C10" s="102"/>
      <c r="D10" s="112"/>
      <c r="E10" s="112"/>
      <c r="F10" s="104"/>
      <c r="G10" s="313"/>
      <c r="H10" s="105"/>
      <c r="I10" s="106"/>
    </row>
    <row r="11" spans="1:9" ht="12.75" hidden="1">
      <c r="A11" s="110"/>
      <c r="B11" s="113"/>
      <c r="C11" s="102"/>
      <c r="D11" s="106"/>
      <c r="E11" s="106"/>
      <c r="F11" s="104"/>
      <c r="G11" s="313"/>
      <c r="H11" s="105"/>
      <c r="I11" s="106"/>
    </row>
    <row r="12" spans="1:9" ht="12.75" hidden="1">
      <c r="A12" s="110"/>
      <c r="B12" s="113"/>
      <c r="C12" s="102"/>
      <c r="D12" s="106"/>
      <c r="E12" s="114"/>
      <c r="F12" s="104"/>
      <c r="G12" s="313"/>
      <c r="H12" s="105"/>
      <c r="I12" s="106"/>
    </row>
    <row r="13" spans="1:9" ht="12.75" hidden="1">
      <c r="A13" s="107"/>
      <c r="B13" s="108"/>
      <c r="C13" s="102"/>
      <c r="D13" s="109"/>
      <c r="E13" s="114"/>
      <c r="F13" s="104"/>
      <c r="G13" s="313"/>
      <c r="H13" s="105"/>
      <c r="I13" s="106"/>
    </row>
    <row r="14" spans="1:9" ht="12.75" hidden="1">
      <c r="A14" s="110"/>
      <c r="B14" s="113"/>
      <c r="C14" s="102"/>
      <c r="D14" s="106"/>
      <c r="E14" s="114"/>
      <c r="F14" s="104"/>
      <c r="G14" s="313"/>
      <c r="H14" s="105"/>
      <c r="I14" s="106"/>
    </row>
    <row r="15" spans="1:9" ht="12.75" hidden="1">
      <c r="A15" s="110"/>
      <c r="B15" s="113"/>
      <c r="C15" s="102"/>
      <c r="D15" s="106"/>
      <c r="E15" s="114"/>
      <c r="F15" s="104"/>
      <c r="G15" s="313"/>
      <c r="H15" s="105"/>
      <c r="I15" s="106"/>
    </row>
    <row r="16" spans="1:9" ht="12.75">
      <c r="A16" s="65"/>
      <c r="B16" s="121"/>
      <c r="C16" s="304"/>
      <c r="D16" s="137"/>
      <c r="E16" s="137"/>
      <c r="F16" s="159"/>
      <c r="G16" s="314"/>
      <c r="H16" s="141"/>
      <c r="I16" s="137"/>
    </row>
    <row r="17" spans="1:9" ht="12.75">
      <c r="A17" s="122"/>
      <c r="B17" s="226"/>
      <c r="C17" s="227"/>
      <c r="D17" s="305"/>
      <c r="E17" s="305"/>
      <c r="F17" s="160"/>
      <c r="G17" s="216"/>
      <c r="H17" s="160"/>
      <c r="I17" s="128"/>
    </row>
    <row r="18" spans="1:9" ht="12.75" hidden="1">
      <c r="A18" s="115"/>
      <c r="B18" s="121"/>
      <c r="C18" s="116"/>
      <c r="D18" s="117"/>
      <c r="E18" s="117"/>
      <c r="F18" s="159"/>
      <c r="G18" s="141"/>
      <c r="H18" s="159"/>
      <c r="I18" s="120"/>
    </row>
    <row r="19" spans="1:9" ht="12.75" hidden="1">
      <c r="A19" s="122"/>
      <c r="B19" s="123"/>
      <c r="C19" s="124"/>
      <c r="D19" s="185"/>
      <c r="E19" s="106"/>
      <c r="F19" s="104"/>
      <c r="G19" s="105"/>
      <c r="H19" s="104"/>
      <c r="I19" s="128"/>
    </row>
    <row r="20" spans="1:9" ht="12.75" hidden="1">
      <c r="A20" s="122"/>
      <c r="B20" s="123"/>
      <c r="C20" s="116"/>
      <c r="D20" s="125"/>
      <c r="E20" s="125"/>
      <c r="F20" s="104"/>
      <c r="G20" s="105"/>
      <c r="H20" s="104"/>
      <c r="I20" s="128"/>
    </row>
    <row r="21" spans="1:9" ht="12.75" hidden="1">
      <c r="A21" s="115"/>
      <c r="B21" s="121"/>
      <c r="C21" s="116"/>
      <c r="D21" s="117"/>
      <c r="E21" s="117"/>
      <c r="F21" s="159"/>
      <c r="G21" s="105"/>
      <c r="H21" s="159"/>
      <c r="I21" s="117"/>
    </row>
    <row r="22" spans="1:9" ht="12.75">
      <c r="A22" s="122"/>
      <c r="B22" s="123"/>
      <c r="C22" s="116"/>
      <c r="D22" s="106"/>
      <c r="E22" s="106"/>
      <c r="F22" s="104"/>
      <c r="G22" s="216"/>
      <c r="H22" s="104"/>
      <c r="I22" s="128"/>
    </row>
    <row r="23" spans="1:9" ht="12.75">
      <c r="A23" s="122"/>
      <c r="B23" s="123"/>
      <c r="C23" s="102"/>
      <c r="D23" s="326"/>
      <c r="E23" s="326"/>
      <c r="F23" s="159"/>
      <c r="G23" s="329"/>
      <c r="H23" s="159"/>
      <c r="I23" s="117"/>
    </row>
    <row r="24" spans="1:9" ht="12.75">
      <c r="A24" s="122"/>
      <c r="B24" s="113"/>
      <c r="C24" s="102"/>
      <c r="D24" s="295"/>
      <c r="E24" s="298"/>
      <c r="F24" s="104"/>
      <c r="G24" s="105"/>
      <c r="H24" s="104"/>
      <c r="I24" s="106"/>
    </row>
    <row r="25" spans="1:9" ht="12.75">
      <c r="A25" s="65"/>
      <c r="B25" s="123"/>
      <c r="C25" s="102"/>
      <c r="D25" s="117"/>
      <c r="E25" s="117"/>
      <c r="F25" s="159"/>
      <c r="G25" s="105"/>
      <c r="H25" s="159"/>
      <c r="I25" s="117"/>
    </row>
    <row r="26" spans="1:9" ht="12.75">
      <c r="A26" s="122"/>
      <c r="B26" s="226"/>
      <c r="C26" s="306"/>
      <c r="D26" s="307"/>
      <c r="E26" s="308"/>
      <c r="F26" s="104"/>
      <c r="G26" s="216"/>
      <c r="H26" s="104"/>
      <c r="I26" s="125"/>
    </row>
    <row r="27" spans="1:15" ht="12.75" hidden="1">
      <c r="A27" s="122"/>
      <c r="B27" s="123"/>
      <c r="C27" s="102"/>
      <c r="D27" s="186"/>
      <c r="E27" s="125"/>
      <c r="F27" s="160"/>
      <c r="G27" s="105"/>
      <c r="H27" s="160"/>
      <c r="I27" s="187"/>
      <c r="J27" s="123"/>
      <c r="K27" s="102"/>
      <c r="L27" s="106"/>
      <c r="M27" s="125"/>
      <c r="N27" s="129"/>
      <c r="O27" s="127"/>
    </row>
    <row r="28" spans="1:15" ht="12.75" hidden="1">
      <c r="A28" s="122"/>
      <c r="B28" s="123"/>
      <c r="C28" s="102"/>
      <c r="D28" s="186"/>
      <c r="E28" s="125"/>
      <c r="F28" s="160"/>
      <c r="G28" s="105"/>
      <c r="H28" s="160"/>
      <c r="I28" s="187"/>
      <c r="J28" s="123"/>
      <c r="K28" s="102"/>
      <c r="L28" s="106"/>
      <c r="M28" s="125"/>
      <c r="N28" s="129"/>
      <c r="O28" s="127"/>
    </row>
    <row r="29" spans="1:9" ht="12.75" hidden="1">
      <c r="A29" s="115"/>
      <c r="B29" s="113"/>
      <c r="C29" s="102"/>
      <c r="D29" s="117"/>
      <c r="E29" s="130"/>
      <c r="F29" s="159"/>
      <c r="G29" s="105"/>
      <c r="H29" s="159"/>
      <c r="I29" s="120"/>
    </row>
    <row r="30" spans="1:9" ht="12.75" hidden="1">
      <c r="A30" s="115"/>
      <c r="B30" s="121"/>
      <c r="C30" s="116"/>
      <c r="D30" s="117"/>
      <c r="E30" s="117"/>
      <c r="F30" s="159"/>
      <c r="G30" s="140"/>
      <c r="H30" s="159"/>
      <c r="I30" s="120"/>
    </row>
    <row r="31" spans="1:9" ht="12.75" hidden="1">
      <c r="A31" s="122"/>
      <c r="B31" s="123"/>
      <c r="C31" s="131"/>
      <c r="D31" s="106"/>
      <c r="E31" s="106"/>
      <c r="F31" s="160"/>
      <c r="G31" s="105"/>
      <c r="H31" s="160"/>
      <c r="I31" s="106"/>
    </row>
    <row r="32" spans="1:9" ht="12.75" hidden="1">
      <c r="A32" s="122"/>
      <c r="B32" s="123"/>
      <c r="C32" s="116"/>
      <c r="D32" s="186"/>
      <c r="E32" s="106"/>
      <c r="F32" s="160"/>
      <c r="G32" s="105"/>
      <c r="H32" s="160"/>
      <c r="I32" s="106"/>
    </row>
    <row r="33" spans="1:9" ht="12.75" hidden="1">
      <c r="A33" s="115"/>
      <c r="B33" s="121"/>
      <c r="C33" s="116"/>
      <c r="D33" s="117"/>
      <c r="E33" s="117"/>
      <c r="F33" s="159"/>
      <c r="G33" s="105"/>
      <c r="H33" s="159"/>
      <c r="I33" s="117"/>
    </row>
    <row r="34" spans="1:9" ht="12.75">
      <c r="A34" s="122"/>
      <c r="B34" s="123"/>
      <c r="C34" s="102"/>
      <c r="D34" s="106"/>
      <c r="E34" s="106"/>
      <c r="F34" s="104"/>
      <c r="G34" s="216"/>
      <c r="H34" s="104"/>
      <c r="I34" s="125"/>
    </row>
    <row r="35" spans="1:9" ht="12.75">
      <c r="A35" s="122"/>
      <c r="B35" s="123"/>
      <c r="C35" s="310"/>
      <c r="D35" s="311"/>
      <c r="E35" s="125"/>
      <c r="F35" s="160"/>
      <c r="G35" s="216"/>
      <c r="H35" s="160"/>
      <c r="I35" s="125"/>
    </row>
    <row r="36" spans="1:9" ht="12.75">
      <c r="A36" s="122"/>
      <c r="B36" s="123"/>
      <c r="C36" s="116"/>
      <c r="D36" s="125"/>
      <c r="E36" s="125"/>
      <c r="F36" s="160"/>
      <c r="G36" s="216"/>
      <c r="H36" s="160"/>
      <c r="I36" s="125"/>
    </row>
    <row r="37" spans="1:9" ht="12.75">
      <c r="A37" s="122"/>
      <c r="B37" s="123"/>
      <c r="C37" s="116"/>
      <c r="D37" s="106"/>
      <c r="E37" s="103"/>
      <c r="F37" s="160"/>
      <c r="G37" s="216"/>
      <c r="H37" s="160"/>
      <c r="I37" s="125"/>
    </row>
    <row r="38" spans="1:9" ht="12.75">
      <c r="A38" s="122"/>
      <c r="B38" s="123"/>
      <c r="C38" s="116"/>
      <c r="D38" s="125"/>
      <c r="E38" s="125"/>
      <c r="F38" s="160"/>
      <c r="G38" s="216"/>
      <c r="H38" s="160"/>
      <c r="I38" s="125"/>
    </row>
    <row r="39" spans="1:9" ht="12.75">
      <c r="A39" s="122"/>
      <c r="B39" s="123"/>
      <c r="C39" s="116"/>
      <c r="D39" s="106"/>
      <c r="E39" s="103"/>
      <c r="F39" s="160"/>
      <c r="G39" s="216"/>
      <c r="H39" s="160"/>
      <c r="I39" s="125"/>
    </row>
    <row r="40" spans="1:9" ht="12.75">
      <c r="A40" s="122"/>
      <c r="B40" s="309"/>
      <c r="C40" s="310"/>
      <c r="D40" s="324"/>
      <c r="E40" s="103"/>
      <c r="F40" s="160"/>
      <c r="G40" s="216"/>
      <c r="H40" s="135"/>
      <c r="I40" s="125"/>
    </row>
    <row r="41" spans="1:9" ht="12.75">
      <c r="A41" s="122"/>
      <c r="B41" s="123"/>
      <c r="C41" s="116"/>
      <c r="D41" s="106"/>
      <c r="E41" s="103"/>
      <c r="F41" s="160"/>
      <c r="G41" s="216"/>
      <c r="H41" s="135"/>
      <c r="I41" s="125"/>
    </row>
    <row r="42" spans="1:9" ht="12.75">
      <c r="A42" s="122"/>
      <c r="B42" s="123"/>
      <c r="C42" s="116"/>
      <c r="D42" s="106"/>
      <c r="E42" s="103"/>
      <c r="F42" s="160"/>
      <c r="G42" s="216"/>
      <c r="H42" s="135"/>
      <c r="I42" s="125"/>
    </row>
    <row r="43" spans="1:9" ht="12.75">
      <c r="A43" s="122"/>
      <c r="B43" s="123"/>
      <c r="C43" s="116"/>
      <c r="D43" s="117"/>
      <c r="E43" s="137"/>
      <c r="F43" s="159"/>
      <c r="G43" s="329"/>
      <c r="H43" s="325"/>
      <c r="I43" s="137"/>
    </row>
    <row r="44" spans="1:9" ht="12.75">
      <c r="A44" s="122"/>
      <c r="B44" s="123"/>
      <c r="C44" s="116"/>
      <c r="D44" s="117"/>
      <c r="E44" s="137"/>
      <c r="F44" s="159"/>
      <c r="G44" s="314"/>
      <c r="H44" s="325"/>
      <c r="I44" s="137"/>
    </row>
    <row r="45" spans="1:9" ht="12.75" hidden="1">
      <c r="A45" s="122"/>
      <c r="B45" s="121"/>
      <c r="C45" s="116"/>
      <c r="D45" s="106"/>
      <c r="E45" s="103"/>
      <c r="F45" s="160"/>
      <c r="G45" s="315"/>
      <c r="H45" s="135"/>
      <c r="I45" s="103"/>
    </row>
    <row r="46" spans="1:9" ht="12.75" hidden="1">
      <c r="A46" s="122"/>
      <c r="B46" s="226"/>
      <c r="C46" s="227"/>
      <c r="D46" s="106"/>
      <c r="E46" s="103"/>
      <c r="F46" s="160"/>
      <c r="G46" s="315"/>
      <c r="H46" s="135"/>
      <c r="I46" s="103"/>
    </row>
    <row r="47" spans="1:9" ht="12.75" hidden="1">
      <c r="A47" s="115"/>
      <c r="B47" s="113"/>
      <c r="C47" s="116"/>
      <c r="D47" s="117"/>
      <c r="E47" s="137"/>
      <c r="F47" s="159"/>
      <c r="G47" s="314"/>
      <c r="H47" s="135"/>
      <c r="I47" s="117"/>
    </row>
    <row r="48" spans="1:9" ht="12.75">
      <c r="A48" s="65"/>
      <c r="B48" s="121"/>
      <c r="C48" s="116"/>
      <c r="D48" s="106"/>
      <c r="E48" s="103"/>
      <c r="F48" s="104"/>
      <c r="G48" s="313"/>
      <c r="H48" s="135"/>
      <c r="I48" s="106"/>
    </row>
    <row r="49" spans="1:9" ht="12.75" hidden="1">
      <c r="A49" s="122"/>
      <c r="B49" s="123"/>
      <c r="C49" s="102"/>
      <c r="D49" s="106"/>
      <c r="E49" s="112"/>
      <c r="F49" s="160"/>
      <c r="G49" s="315"/>
      <c r="H49" s="135"/>
      <c r="I49" s="133"/>
    </row>
    <row r="50" spans="1:9" ht="12.75">
      <c r="A50" s="122"/>
      <c r="B50" s="123"/>
      <c r="C50" s="102"/>
      <c r="D50" s="106"/>
      <c r="E50" s="216"/>
      <c r="F50" s="160"/>
      <c r="G50" s="216"/>
      <c r="H50" s="135"/>
      <c r="I50" s="133"/>
    </row>
    <row r="51" spans="1:9" ht="12.75">
      <c r="A51" s="122"/>
      <c r="B51" s="123"/>
      <c r="C51" s="102"/>
      <c r="D51" s="117"/>
      <c r="E51" s="137"/>
      <c r="F51" s="159"/>
      <c r="G51" s="329"/>
      <c r="H51" s="325"/>
      <c r="I51" s="135"/>
    </row>
    <row r="52" spans="1:9" ht="12.75">
      <c r="A52" s="122"/>
      <c r="B52" s="123"/>
      <c r="C52" s="102"/>
      <c r="D52" s="216"/>
      <c r="E52" s="137"/>
      <c r="F52" s="159"/>
      <c r="G52" s="314"/>
      <c r="H52" s="135"/>
      <c r="I52" s="120"/>
    </row>
    <row r="53" spans="1:9" ht="12.75">
      <c r="A53" s="115"/>
      <c r="B53" s="121"/>
      <c r="C53" s="102"/>
      <c r="D53" s="106"/>
      <c r="E53" s="112"/>
      <c r="F53" s="118"/>
      <c r="G53" s="316"/>
      <c r="H53" s="128"/>
      <c r="I53" s="134"/>
    </row>
    <row r="54" spans="1:9" ht="12.75">
      <c r="A54" s="122"/>
      <c r="B54" s="123"/>
      <c r="C54" s="228"/>
      <c r="D54" s="106"/>
      <c r="E54" s="112"/>
      <c r="F54" s="129"/>
      <c r="G54" s="216"/>
      <c r="H54" s="128"/>
      <c r="I54" s="128"/>
    </row>
    <row r="55" spans="1:9" ht="12.75" hidden="1">
      <c r="A55" s="122"/>
      <c r="B55" s="132"/>
      <c r="C55" s="102"/>
      <c r="D55" s="106"/>
      <c r="E55" s="112"/>
      <c r="F55" s="158"/>
      <c r="G55" s="318"/>
      <c r="H55" s="166"/>
      <c r="I55" s="161"/>
    </row>
    <row r="56" spans="1:10" ht="12.75" hidden="1">
      <c r="A56" s="122"/>
      <c r="B56" s="299"/>
      <c r="C56" s="228"/>
      <c r="D56" s="106"/>
      <c r="E56" s="112"/>
      <c r="F56" s="293"/>
      <c r="G56" s="216"/>
      <c r="H56" s="294"/>
      <c r="I56" s="128"/>
      <c r="J56" s="297"/>
    </row>
    <row r="57" spans="1:10" ht="12.75">
      <c r="A57" s="122"/>
      <c r="B57" s="123"/>
      <c r="C57" s="228"/>
      <c r="D57" s="106"/>
      <c r="E57" s="112"/>
      <c r="F57" s="293"/>
      <c r="G57" s="216"/>
      <c r="H57" s="294"/>
      <c r="I57" s="128"/>
      <c r="J57" s="297"/>
    </row>
    <row r="58" spans="1:10" ht="12.75">
      <c r="A58" s="122"/>
      <c r="B58" s="123"/>
      <c r="C58" s="102"/>
      <c r="D58" s="295"/>
      <c r="E58" s="112"/>
      <c r="F58" s="293"/>
      <c r="G58" s="216"/>
      <c r="H58" s="294"/>
      <c r="I58" s="128"/>
      <c r="J58" s="297"/>
    </row>
    <row r="59" spans="1:10" ht="12.75">
      <c r="A59" s="122"/>
      <c r="B59" s="123"/>
      <c r="C59" s="102"/>
      <c r="D59" s="326"/>
      <c r="E59" s="137"/>
      <c r="F59" s="327"/>
      <c r="G59" s="329"/>
      <c r="H59" s="328"/>
      <c r="I59" s="296"/>
      <c r="J59" s="297"/>
    </row>
    <row r="60" spans="1:10" ht="12.75">
      <c r="A60" s="122"/>
      <c r="B60" s="123"/>
      <c r="C60" s="102"/>
      <c r="D60" s="295"/>
      <c r="E60" s="112"/>
      <c r="F60" s="293"/>
      <c r="G60" s="319"/>
      <c r="H60" s="294"/>
      <c r="I60" s="296"/>
      <c r="J60" s="297"/>
    </row>
    <row r="61" spans="1:10" ht="12.75">
      <c r="A61" s="65"/>
      <c r="B61" s="121"/>
      <c r="C61" s="102"/>
      <c r="D61" s="295"/>
      <c r="E61" s="112"/>
      <c r="F61" s="293"/>
      <c r="G61" s="319"/>
      <c r="H61" s="294"/>
      <c r="I61" s="296"/>
      <c r="J61" s="297"/>
    </row>
    <row r="62" spans="1:10" ht="12.75">
      <c r="A62" s="122"/>
      <c r="B62" s="123"/>
      <c r="C62" s="228"/>
      <c r="D62" s="295"/>
      <c r="E62" s="112"/>
      <c r="F62" s="293"/>
      <c r="G62" s="216"/>
      <c r="H62" s="294"/>
      <c r="I62" s="296"/>
      <c r="J62" s="297"/>
    </row>
    <row r="63" spans="1:10" ht="12.75">
      <c r="A63" s="122"/>
      <c r="B63" s="123"/>
      <c r="C63" s="102"/>
      <c r="D63" s="295"/>
      <c r="E63" s="112"/>
      <c r="F63" s="293"/>
      <c r="G63" s="216"/>
      <c r="H63" s="294"/>
      <c r="I63" s="296"/>
      <c r="J63" s="297"/>
    </row>
    <row r="64" spans="1:9" ht="12.75">
      <c r="A64" s="122"/>
      <c r="B64" s="123"/>
      <c r="C64" s="228"/>
      <c r="D64" s="125"/>
      <c r="E64" s="112"/>
      <c r="F64" s="129"/>
      <c r="G64" s="216"/>
      <c r="H64" s="128"/>
      <c r="I64" s="120"/>
    </row>
    <row r="65" spans="1:9" ht="12.75">
      <c r="A65" s="115"/>
      <c r="B65" s="121"/>
      <c r="C65" s="102"/>
      <c r="D65" s="117"/>
      <c r="E65" s="137"/>
      <c r="F65" s="118"/>
      <c r="G65" s="329"/>
      <c r="H65" s="120"/>
      <c r="I65" s="134"/>
    </row>
    <row r="66" spans="1:9" ht="12.75">
      <c r="A66" s="122"/>
      <c r="B66" s="123"/>
      <c r="C66" s="102"/>
      <c r="D66" s="106"/>
      <c r="E66" s="112"/>
      <c r="F66" s="129"/>
      <c r="G66" s="317"/>
      <c r="H66" s="128"/>
      <c r="I66" s="134"/>
    </row>
    <row r="67" spans="1:9" ht="12.75" hidden="1">
      <c r="A67" s="122"/>
      <c r="B67" s="123"/>
      <c r="C67" s="102"/>
      <c r="D67" s="106"/>
      <c r="E67" s="112"/>
      <c r="F67" s="129"/>
      <c r="G67" s="317"/>
      <c r="H67" s="128"/>
      <c r="I67" s="134"/>
    </row>
    <row r="68" spans="1:9" ht="12.75" hidden="1">
      <c r="A68" s="122"/>
      <c r="B68" s="123"/>
      <c r="C68" s="116"/>
      <c r="D68" s="125"/>
      <c r="E68" s="112"/>
      <c r="F68" s="129"/>
      <c r="G68" s="317"/>
      <c r="H68" s="128"/>
      <c r="I68" s="128"/>
    </row>
    <row r="69" spans="1:9" ht="12.75">
      <c r="A69" s="65"/>
      <c r="B69" s="121"/>
      <c r="C69" s="116"/>
      <c r="D69" s="292"/>
      <c r="E69" s="112"/>
      <c r="F69" s="129"/>
      <c r="G69" s="317"/>
      <c r="H69" s="128"/>
      <c r="I69" s="135"/>
    </row>
    <row r="70" spans="1:9" ht="12.75" hidden="1">
      <c r="A70" s="122"/>
      <c r="B70" s="123"/>
      <c r="C70" s="116"/>
      <c r="D70" s="125"/>
      <c r="E70" s="125"/>
      <c r="F70" s="129"/>
      <c r="G70" s="317"/>
      <c r="H70" s="128"/>
      <c r="I70" s="128"/>
    </row>
    <row r="71" spans="1:9" ht="12.75" hidden="1">
      <c r="A71" s="162"/>
      <c r="B71" s="163"/>
      <c r="C71" s="164"/>
      <c r="D71" s="165"/>
      <c r="E71" s="165"/>
      <c r="F71" s="158"/>
      <c r="G71" s="318"/>
      <c r="H71" s="166"/>
      <c r="I71" s="166"/>
    </row>
    <row r="72" spans="1:9" ht="12.75">
      <c r="A72" s="289"/>
      <c r="B72" s="290"/>
      <c r="C72" s="291"/>
      <c r="D72" s="292"/>
      <c r="E72" s="292"/>
      <c r="F72" s="293"/>
      <c r="G72" s="216"/>
      <c r="H72" s="294"/>
      <c r="I72" s="294"/>
    </row>
    <row r="73" spans="1:9" ht="12.75">
      <c r="A73" s="289"/>
      <c r="B73" s="290"/>
      <c r="C73" s="291"/>
      <c r="D73" s="292"/>
      <c r="E73" s="292"/>
      <c r="F73" s="293"/>
      <c r="G73" s="216"/>
      <c r="H73" s="294"/>
      <c r="I73" s="294"/>
    </row>
    <row r="74" spans="1:9" ht="12.75">
      <c r="A74" s="289"/>
      <c r="B74" s="300"/>
      <c r="C74" s="291"/>
      <c r="D74" s="292"/>
      <c r="E74" s="292"/>
      <c r="F74" s="293"/>
      <c r="G74" s="216"/>
      <c r="H74" s="294"/>
      <c r="I74" s="294"/>
    </row>
    <row r="75" spans="1:9" ht="12.75">
      <c r="A75" s="289"/>
      <c r="B75" s="290"/>
      <c r="C75" s="291"/>
      <c r="D75" s="292"/>
      <c r="E75" s="292"/>
      <c r="F75" s="293"/>
      <c r="G75" s="216"/>
      <c r="H75" s="294"/>
      <c r="I75" s="294"/>
    </row>
    <row r="76" spans="1:9" ht="12.75">
      <c r="A76" s="289"/>
      <c r="B76" s="123"/>
      <c r="C76" s="131"/>
      <c r="D76" s="125"/>
      <c r="E76" s="216"/>
      <c r="F76" s="129"/>
      <c r="G76" s="216"/>
      <c r="H76" s="128"/>
      <c r="I76" s="120"/>
    </row>
    <row r="77" spans="1:9" ht="12.75">
      <c r="A77" s="122"/>
      <c r="B77" s="121"/>
      <c r="C77" s="102"/>
      <c r="D77" s="117"/>
      <c r="E77" s="117"/>
      <c r="F77" s="118"/>
      <c r="G77" s="329"/>
      <c r="H77" s="120"/>
      <c r="I77" s="125"/>
    </row>
    <row r="78" spans="1:9" ht="12.75">
      <c r="A78" s="122"/>
      <c r="B78" s="123"/>
      <c r="C78" s="102"/>
      <c r="D78" s="125"/>
      <c r="E78" s="125"/>
      <c r="F78" s="129"/>
      <c r="G78" s="317"/>
      <c r="H78" s="127"/>
      <c r="I78" s="128"/>
    </row>
    <row r="79" spans="1:9" ht="12.75">
      <c r="A79" s="65"/>
      <c r="B79" s="121"/>
      <c r="C79" s="116"/>
      <c r="D79" s="117"/>
      <c r="E79" s="117"/>
      <c r="F79" s="118"/>
      <c r="G79" s="316"/>
      <c r="H79" s="119"/>
      <c r="I79" s="120"/>
    </row>
    <row r="80" spans="1:9" ht="12.75">
      <c r="A80" s="122"/>
      <c r="B80" s="123"/>
      <c r="C80" s="116"/>
      <c r="D80" s="106"/>
      <c r="E80" s="106"/>
      <c r="F80" s="126"/>
      <c r="G80" s="216"/>
      <c r="H80" s="128"/>
      <c r="I80" s="106"/>
    </row>
    <row r="81" spans="1:9" ht="12.75">
      <c r="A81" s="115"/>
      <c r="B81" s="113"/>
      <c r="C81" s="116"/>
      <c r="D81" s="117"/>
      <c r="E81" s="137"/>
      <c r="F81" s="118"/>
      <c r="G81" s="329"/>
      <c r="H81" s="137"/>
      <c r="I81" s="106"/>
    </row>
    <row r="82" spans="1:9" ht="12.75">
      <c r="A82" s="115"/>
      <c r="B82" s="113"/>
      <c r="C82" s="116"/>
      <c r="D82" s="117"/>
      <c r="E82" s="106"/>
      <c r="F82" s="129"/>
      <c r="G82" s="321"/>
      <c r="H82" s="112"/>
      <c r="I82" s="106"/>
    </row>
    <row r="83" spans="1:9" ht="12.75">
      <c r="A83" s="65"/>
      <c r="B83" s="121"/>
      <c r="C83" s="304"/>
      <c r="D83" s="106"/>
      <c r="E83" s="106"/>
      <c r="F83" s="126"/>
      <c r="G83" s="320"/>
      <c r="H83" s="127"/>
      <c r="I83" s="106"/>
    </row>
    <row r="84" spans="1:9" ht="12.75">
      <c r="A84" s="107"/>
      <c r="B84" s="108"/>
      <c r="C84" s="228"/>
      <c r="D84" s="103"/>
      <c r="E84" s="112"/>
      <c r="F84" s="126"/>
      <c r="G84" s="216"/>
      <c r="H84" s="128"/>
      <c r="I84" s="106"/>
    </row>
    <row r="85" spans="1:9" ht="12.75">
      <c r="A85" s="107"/>
      <c r="B85" s="108"/>
      <c r="C85" s="228"/>
      <c r="D85" s="103"/>
      <c r="E85" s="216"/>
      <c r="F85" s="126"/>
      <c r="G85" s="216"/>
      <c r="H85" s="128"/>
      <c r="I85" s="106"/>
    </row>
    <row r="86" spans="1:9" ht="12.75">
      <c r="A86" s="115"/>
      <c r="B86" s="113"/>
      <c r="C86" s="102"/>
      <c r="D86" s="117"/>
      <c r="E86" s="130"/>
      <c r="F86" s="118"/>
      <c r="G86" s="329"/>
      <c r="H86" s="120"/>
      <c r="I86" s="106"/>
    </row>
    <row r="87" spans="1:9" ht="12.75">
      <c r="A87" s="115"/>
      <c r="B87" s="113"/>
      <c r="C87" s="102"/>
      <c r="D87" s="106"/>
      <c r="E87" s="114"/>
      <c r="F87" s="126"/>
      <c r="G87" s="320"/>
      <c r="H87" s="128"/>
      <c r="I87" s="106"/>
    </row>
    <row r="88" spans="1:9" ht="12.75">
      <c r="A88" s="332"/>
      <c r="B88" s="101"/>
      <c r="C88" s="102"/>
      <c r="D88" s="103"/>
      <c r="E88" s="136"/>
      <c r="F88" s="126"/>
      <c r="G88" s="320"/>
      <c r="H88" s="128"/>
      <c r="I88" s="106"/>
    </row>
    <row r="89" spans="1:9" ht="12.75">
      <c r="A89" s="107"/>
      <c r="B89" s="108"/>
      <c r="C89" s="102"/>
      <c r="D89" s="103"/>
      <c r="E89" s="136"/>
      <c r="F89" s="126"/>
      <c r="G89" s="216"/>
      <c r="H89" s="128"/>
      <c r="I89" s="106"/>
    </row>
    <row r="90" spans="1:9" ht="12.75">
      <c r="A90" s="107"/>
      <c r="B90" s="108"/>
      <c r="C90" s="102"/>
      <c r="D90" s="137"/>
      <c r="E90" s="138"/>
      <c r="F90" s="118"/>
      <c r="G90" s="329"/>
      <c r="H90" s="120"/>
      <c r="I90" s="134"/>
    </row>
    <row r="91" spans="1:9" ht="12.75">
      <c r="A91" s="107"/>
      <c r="B91" s="108"/>
      <c r="C91" s="102"/>
      <c r="D91" s="103"/>
      <c r="E91" s="136"/>
      <c r="F91" s="126"/>
      <c r="G91" s="320"/>
      <c r="H91" s="128"/>
      <c r="I91" s="134"/>
    </row>
    <row r="92" spans="1:9" ht="12.75">
      <c r="A92" s="332"/>
      <c r="B92" s="101"/>
      <c r="C92" s="116"/>
      <c r="D92" s="137"/>
      <c r="E92" s="138"/>
      <c r="F92" s="139"/>
      <c r="G92" s="322"/>
      <c r="H92" s="330"/>
      <c r="I92" s="120"/>
    </row>
    <row r="93" spans="1:9" ht="12.75">
      <c r="A93" s="107"/>
      <c r="B93" s="108"/>
      <c r="C93" s="116"/>
      <c r="D93" s="112"/>
      <c r="E93" s="136"/>
      <c r="F93" s="142"/>
      <c r="G93" s="216"/>
      <c r="H93" s="135"/>
      <c r="I93" s="120"/>
    </row>
    <row r="94" spans="1:9" ht="12.75">
      <c r="A94" s="100"/>
      <c r="B94" s="111"/>
      <c r="C94" s="116"/>
      <c r="D94" s="137"/>
      <c r="E94" s="138"/>
      <c r="F94" s="139"/>
      <c r="G94" s="329"/>
      <c r="H94" s="325"/>
      <c r="I94" s="117"/>
    </row>
    <row r="95" spans="1:9" ht="12.75">
      <c r="A95" s="100"/>
      <c r="B95" s="111"/>
      <c r="C95" s="116"/>
      <c r="D95" s="137"/>
      <c r="E95" s="138"/>
      <c r="F95" s="139"/>
      <c r="G95" s="322"/>
      <c r="H95" s="325"/>
      <c r="I95" s="117"/>
    </row>
    <row r="96" spans="1:9" ht="12.75">
      <c r="A96" s="100"/>
      <c r="B96" s="111"/>
      <c r="C96" s="116"/>
      <c r="D96" s="137"/>
      <c r="E96" s="138"/>
      <c r="F96" s="139"/>
      <c r="G96" s="329"/>
      <c r="H96" s="139"/>
      <c r="I96" s="117"/>
    </row>
    <row r="97" spans="1:9" ht="12.75">
      <c r="A97" s="115"/>
      <c r="B97" s="111"/>
      <c r="C97" s="116"/>
      <c r="D97" s="106"/>
      <c r="E97" s="106"/>
      <c r="F97" s="126"/>
      <c r="G97" s="320"/>
      <c r="H97" s="128"/>
      <c r="I97" s="106"/>
    </row>
    <row r="98" spans="1:9" ht="15">
      <c r="A98" s="143"/>
      <c r="B98" s="121"/>
      <c r="C98" s="144"/>
      <c r="D98" s="145"/>
      <c r="E98" s="145"/>
      <c r="F98" s="146"/>
      <c r="G98" s="323"/>
      <c r="H98" s="331"/>
      <c r="I98" s="145"/>
    </row>
    <row r="99" spans="1:9" ht="12.75">
      <c r="A99" s="93"/>
      <c r="B99" s="97"/>
      <c r="C99" s="93"/>
      <c r="D99" s="97"/>
      <c r="E99" s="97"/>
      <c r="F99" s="97"/>
      <c r="G99" s="97"/>
      <c r="H99" s="98"/>
      <c r="I99" s="97"/>
    </row>
    <row r="100" spans="1:9" ht="12.75">
      <c r="A100" s="93"/>
      <c r="B100" s="97"/>
      <c r="C100" s="93"/>
      <c r="D100" s="97"/>
      <c r="E100" s="97"/>
      <c r="F100" s="93"/>
      <c r="G100" s="93"/>
      <c r="H100" s="98"/>
      <c r="I100" s="147"/>
    </row>
    <row r="101" spans="1:9" ht="12.75">
      <c r="A101" s="93"/>
      <c r="B101" s="97"/>
      <c r="C101" s="93"/>
      <c r="D101" s="97"/>
      <c r="E101" s="97"/>
      <c r="F101" s="93"/>
      <c r="G101" s="93"/>
      <c r="H101" s="98"/>
      <c r="I101" s="97"/>
    </row>
    <row r="102" spans="1:9" ht="12.75">
      <c r="A102" s="93"/>
      <c r="B102" s="148"/>
      <c r="C102" s="149"/>
      <c r="D102" s="150"/>
      <c r="E102" s="97"/>
      <c r="F102" s="151" t="s">
        <v>8</v>
      </c>
      <c r="G102" s="151"/>
      <c r="H102" s="98"/>
      <c r="I102" s="97"/>
    </row>
    <row r="103" spans="1:9" ht="12.75">
      <c r="A103" s="93"/>
      <c r="B103" s="97"/>
      <c r="C103" s="93"/>
      <c r="D103" s="152"/>
      <c r="E103" s="97"/>
      <c r="F103" s="93"/>
      <c r="G103" s="93"/>
      <c r="H103" s="98"/>
      <c r="I103" s="97"/>
    </row>
    <row r="104" spans="1:9" ht="12.75">
      <c r="A104" s="93"/>
      <c r="B104" s="153"/>
      <c r="C104" s="93"/>
      <c r="D104" s="152"/>
      <c r="E104" s="152"/>
      <c r="F104" s="154"/>
      <c r="G104" s="154"/>
      <c r="H104" s="98"/>
      <c r="I104" s="97"/>
    </row>
    <row r="105" spans="1:9" ht="12.75">
      <c r="A105" s="93"/>
      <c r="B105" s="153"/>
      <c r="C105" s="93"/>
      <c r="D105" s="152"/>
      <c r="E105" s="152"/>
      <c r="F105" s="154"/>
      <c r="G105" s="154"/>
      <c r="H105" s="98"/>
      <c r="I105" s="97"/>
    </row>
    <row r="106" spans="1:9" ht="12.75">
      <c r="A106" s="93"/>
      <c r="B106" s="153"/>
      <c r="C106" s="93"/>
      <c r="D106" s="152"/>
      <c r="E106" s="152"/>
      <c r="F106" s="154"/>
      <c r="G106" s="154"/>
      <c r="H106" s="98"/>
      <c r="I106" s="97"/>
    </row>
    <row r="107" spans="1:9" ht="12.75">
      <c r="A107" s="93"/>
      <c r="B107" s="153"/>
      <c r="C107" s="93"/>
      <c r="D107" s="152"/>
      <c r="E107" s="152"/>
      <c r="F107" s="154"/>
      <c r="G107" s="154"/>
      <c r="H107" s="98"/>
      <c r="I107" s="97"/>
    </row>
    <row r="108" spans="1:9" ht="12.75">
      <c r="A108" s="93"/>
      <c r="B108" s="153"/>
      <c r="C108" s="93"/>
      <c r="D108" s="152"/>
      <c r="E108" s="152"/>
      <c r="F108" s="154"/>
      <c r="G108" s="154"/>
      <c r="H108" s="98"/>
      <c r="I108" s="97"/>
    </row>
    <row r="109" spans="1:9" ht="12.75">
      <c r="A109" s="93"/>
      <c r="B109" s="155"/>
      <c r="C109" s="93"/>
      <c r="D109" s="152"/>
      <c r="E109" s="152"/>
      <c r="F109" s="154"/>
      <c r="G109" s="154"/>
      <c r="H109" s="98"/>
      <c r="I109" s="97"/>
    </row>
    <row r="110" spans="1:9" ht="12.75">
      <c r="A110" s="93"/>
      <c r="B110" s="97"/>
      <c r="C110" s="93"/>
      <c r="D110" s="152"/>
      <c r="E110" s="97"/>
      <c r="F110" s="93"/>
      <c r="G110" s="93"/>
      <c r="H110" s="98"/>
      <c r="I110" s="97"/>
    </row>
    <row r="111" spans="1:9" ht="15">
      <c r="A111" s="93"/>
      <c r="B111" s="156"/>
      <c r="C111" s="93"/>
      <c r="D111" s="152"/>
      <c r="E111" s="97"/>
      <c r="F111" s="93"/>
      <c r="G111" s="93"/>
      <c r="H111" s="98"/>
      <c r="I111" s="97"/>
    </row>
    <row r="112" spans="1:9" ht="12.75">
      <c r="A112" s="93"/>
      <c r="B112" s="97"/>
      <c r="C112" s="93"/>
      <c r="D112" s="152"/>
      <c r="E112" s="97"/>
      <c r="F112" s="93"/>
      <c r="G112" s="93"/>
      <c r="H112" s="98"/>
      <c r="I112" s="97"/>
    </row>
    <row r="113" spans="1:9" ht="12.75">
      <c r="A113" s="93"/>
      <c r="B113" s="97"/>
      <c r="C113" s="93"/>
      <c r="D113" s="97"/>
      <c r="E113" s="97"/>
      <c r="F113" s="93"/>
      <c r="G113" s="93"/>
      <c r="H113" s="98"/>
      <c r="I113" s="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Nadine Laubscher</cp:lastModifiedBy>
  <cp:lastPrinted>2013-01-11T14:15:59Z</cp:lastPrinted>
  <dcterms:created xsi:type="dcterms:W3CDTF">2004-08-24T08:49:04Z</dcterms:created>
  <dcterms:modified xsi:type="dcterms:W3CDTF">2013-01-28T11:15:40Z</dcterms:modified>
  <cp:category/>
  <cp:version/>
  <cp:contentType/>
  <cp:contentStatus/>
  <cp:revision>1</cp:revision>
</cp:coreProperties>
</file>